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ORMULA RATES SPP\Annual Update AEP West Trans\Projected\2024 Projection\Filed Documents\"/>
    </mc:Choice>
  </mc:AlternateContent>
  <xr:revisionPtr revIDLastSave="0" documentId="13_ncr:1_{5240E85E-2E35-49F3-8018-A78AABDEAC97}" xr6:coauthVersionLast="47" xr6:coauthVersionMax="47" xr10:uidLastSave="{00000000-0000-0000-0000-000000000000}"/>
  <bookViews>
    <workbookView xWindow="57480" yWindow="1620" windowWidth="29040" windowHeight="15720" tabRatio="887" xr2:uid="{00000000-000D-0000-FFFF-FFFF00000000}"/>
  </bookViews>
  <sheets>
    <sheet name="PSO.Sch.11.Rates" sheetId="17" r:id="rId1"/>
    <sheet name="PSO.WS.F.BPU.ATRR.Projected" sheetId="1" r:id="rId2"/>
    <sheet name="PSO.WS.G.BPU.ATRR.True-up" sheetId="2" r:id="rId3"/>
    <sheet name="P.001" sheetId="3" r:id="rId4"/>
    <sheet name="P.002" sheetId="4" r:id="rId5"/>
    <sheet name="P.003" sheetId="5" r:id="rId6"/>
    <sheet name="P.004" sheetId="6" r:id="rId7"/>
    <sheet name="P.005" sheetId="7" r:id="rId8"/>
    <sheet name="P.006" sheetId="8" r:id="rId9"/>
    <sheet name="P.007" sheetId="9" r:id="rId10"/>
    <sheet name="P.008" sheetId="10" r:id="rId11"/>
    <sheet name="P.009" sheetId="11" r:id="rId12"/>
    <sheet name="P.010" sheetId="22" r:id="rId13"/>
    <sheet name="P.011" sheetId="23" r:id="rId14"/>
    <sheet name="P.012" sheetId="24" r:id="rId15"/>
    <sheet name="P.013" sheetId="25" r:id="rId16"/>
    <sheet name="P.014" sheetId="27" r:id="rId17"/>
    <sheet name="P.015" sheetId="28" r:id="rId18"/>
    <sheet name="P.016" sheetId="29" r:id="rId19"/>
    <sheet name="P.017" sheetId="30" r:id="rId20"/>
    <sheet name="P.018" sheetId="31" r:id="rId21"/>
    <sheet name="P.019" sheetId="37" r:id="rId22"/>
    <sheet name="P.020" sheetId="38" r:id="rId23"/>
    <sheet name="P.021" sheetId="39" r:id="rId24"/>
    <sheet name="P.022" sheetId="40" r:id="rId25"/>
    <sheet name="P.023" sheetId="41" r:id="rId26"/>
    <sheet name="P.024" sheetId="42" r:id="rId27"/>
    <sheet name="P.025" sheetId="43" r:id="rId28"/>
    <sheet name="P.026" sheetId="44" r:id="rId29"/>
    <sheet name="P.027" sheetId="45" r:id="rId30"/>
    <sheet name="P.028" sheetId="46" r:id="rId31"/>
    <sheet name="P.029" sheetId="47" r:id="rId32"/>
    <sheet name="P.030" sheetId="48" r:id="rId33"/>
    <sheet name="P.031" sheetId="49" r:id="rId34"/>
    <sheet name="P.032" sheetId="54" r:id="rId35"/>
    <sheet name="P.033" sheetId="55" r:id="rId36"/>
    <sheet name="P.xyz - blank" sheetId="13" r:id="rId37"/>
  </sheets>
  <externalReferences>
    <externalReference r:id="rId38"/>
  </externalReferences>
  <definedNames>
    <definedName name="_NPh1">#REF!</definedName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llocator">#REF!</definedName>
    <definedName name="allocators">#REF!</definedName>
    <definedName name="allocatorsSWP">#REF!</definedName>
    <definedName name="allocatorSWP1">'[1]SWP TCOS 2008 13 Month'!$I$317:$J$328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rrYear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P_h1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AEP_STATE_JURIS">"AEP_ST_JD_TBL"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3">P.001!$A$1:$P$165</definedName>
    <definedName name="_xlnm.Print_Area" localSheetId="4">P.002!$A$1:$P$165</definedName>
    <definedName name="_xlnm.Print_Area" localSheetId="5">P.003!$A$1:$P$165</definedName>
    <definedName name="_xlnm.Print_Area" localSheetId="6">P.004!$A$1:$P$165</definedName>
    <definedName name="_xlnm.Print_Area" localSheetId="7">P.005!$A$1:$P$165</definedName>
    <definedName name="_xlnm.Print_Area" localSheetId="8">P.006!$A$1:$P$165</definedName>
    <definedName name="_xlnm.Print_Area" localSheetId="9">P.007!$A$1:$P$165</definedName>
    <definedName name="_xlnm.Print_Area" localSheetId="10">P.008!$A$1:$P$165</definedName>
    <definedName name="_xlnm.Print_Area" localSheetId="11">P.009!$A$1:$P$165</definedName>
    <definedName name="_xlnm.Print_Area" localSheetId="12">P.010!$A$1:$P$165</definedName>
    <definedName name="_xlnm.Print_Area" localSheetId="13">P.011!$A$1:$P$165</definedName>
    <definedName name="_xlnm.Print_Area" localSheetId="14">P.012!$A$1:$P$165</definedName>
    <definedName name="_xlnm.Print_Area" localSheetId="15">P.013!$A$1:$P$165</definedName>
    <definedName name="_xlnm.Print_Area" localSheetId="16">P.014!$A$1:$P$165</definedName>
    <definedName name="_xlnm.Print_Area" localSheetId="17">P.015!$A$1:$P$165</definedName>
    <definedName name="_xlnm.Print_Area" localSheetId="18">P.016!$A$1:$P$165</definedName>
    <definedName name="_xlnm.Print_Area" localSheetId="19">P.017!$A$1:$P$165</definedName>
    <definedName name="_xlnm.Print_Area" localSheetId="20">P.018!$A$1:$P$165</definedName>
    <definedName name="_xlnm.Print_Area" localSheetId="21">P.019!$A$1:$P$165</definedName>
    <definedName name="_xlnm.Print_Area" localSheetId="22">P.020!$A$1:$P$165</definedName>
    <definedName name="_xlnm.Print_Area" localSheetId="23">P.021!$A$1:$P$165</definedName>
    <definedName name="_xlnm.Print_Area" localSheetId="24">P.022!$A$1:$P$165</definedName>
    <definedName name="_xlnm.Print_Area" localSheetId="34">P.032!$A$1:$P$165</definedName>
    <definedName name="_xlnm.Print_Area" localSheetId="35">P.033!$A$1:$P$165</definedName>
    <definedName name="_xlnm.Print_Area" localSheetId="36">'P.xyz - blank'!$A$1:$P$165</definedName>
    <definedName name="_xlnm.Print_Area" localSheetId="0">'PSO.Sch.11.Rates'!$A$1:$V$54</definedName>
    <definedName name="_xlnm.Print_Area" localSheetId="1">'PSO.WS.F.BPU.ATRR.Projected'!$A$1:$O$93</definedName>
    <definedName name="_xlnm.Print_Area" localSheetId="2">'PSO.WS.G.BPU.ATRR.True-up'!$A$1:$P$96</definedName>
    <definedName name="_xlnm.Print_Titles" localSheetId="5">P.003!#REF!</definedName>
    <definedName name="_xlnm.Print_Titles" localSheetId="6">P.004!#REF!</definedName>
    <definedName name="_xlnm.Print_Titles" localSheetId="7">P.005!#REF!</definedName>
    <definedName name="_xlnm.Print_Titles" localSheetId="8">P.006!#REF!</definedName>
    <definedName name="_xlnm.Print_Titles" localSheetId="9">P.007!#REF!</definedName>
    <definedName name="_xlnm.Print_Titles" localSheetId="10">P.008!#REF!</definedName>
    <definedName name="_xlnm.Print_Titles" localSheetId="11">P.009!#REF!</definedName>
    <definedName name="_xlnm.Print_Titles" localSheetId="12">P.010!#REF!</definedName>
    <definedName name="_xlnm.Print_Titles" localSheetId="13">P.011!#REF!</definedName>
    <definedName name="_xlnm.Print_Titles" localSheetId="14">P.012!#REF!</definedName>
    <definedName name="_xlnm.Print_Titles" localSheetId="15">P.013!#REF!</definedName>
    <definedName name="_xlnm.Print_Titles" localSheetId="16">P.014!#REF!</definedName>
    <definedName name="_xlnm.Print_Titles" localSheetId="17">P.015!#REF!</definedName>
    <definedName name="_xlnm.Print_Titles" localSheetId="18">P.016!#REF!</definedName>
    <definedName name="_xlnm.Print_Titles" localSheetId="19">P.017!#REF!</definedName>
    <definedName name="_xlnm.Print_Titles" localSheetId="20">P.018!#REF!</definedName>
    <definedName name="_xlnm.Print_Titles" localSheetId="21">P.019!#REF!</definedName>
    <definedName name="_xlnm.Print_Titles" localSheetId="22">P.020!#REF!</definedName>
    <definedName name="_xlnm.Print_Titles" localSheetId="23">P.021!#REF!</definedName>
    <definedName name="_xlnm.Print_Titles" localSheetId="24">P.022!#REF!</definedName>
    <definedName name="_xlnm.Print_Titles" localSheetId="34">P.032!#REF!</definedName>
    <definedName name="_xlnm.Print_Titles" localSheetId="35">P.033!#REF!</definedName>
    <definedName name="_xlnm.Print_Titles" localSheetId="36">'P.xyz - blank'!#REF!</definedName>
    <definedName name="_xlnm.Print_Titles" localSheetId="1">'PSO.WS.F.BPU.ATRR.Projected'!$1:$6</definedName>
    <definedName name="_xlnm.Print_Titles" localSheetId="2">'PSO.WS.G.BPU.ATRR.True-up'!$1:$5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SOallocatorsP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WPallocatorsH">#REF!</definedName>
    <definedName name="SWPallocatorsP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" i="55" l="1"/>
  <c r="P83" i="55" s="1"/>
  <c r="P1" i="54"/>
  <c r="P83" i="54" s="1"/>
  <c r="D89" i="55"/>
  <c r="D8" i="55"/>
  <c r="D90" i="55" s="1"/>
  <c r="D89" i="54"/>
  <c r="P154" i="55"/>
  <c r="O154" i="55"/>
  <c r="M154" i="55"/>
  <c r="J154" i="55"/>
  <c r="P153" i="55"/>
  <c r="O153" i="55"/>
  <c r="M153" i="55"/>
  <c r="J153" i="55"/>
  <c r="P152" i="55"/>
  <c r="O152" i="55"/>
  <c r="M152" i="55"/>
  <c r="J152" i="55"/>
  <c r="P151" i="55"/>
  <c r="O151" i="55"/>
  <c r="M151" i="55"/>
  <c r="J151" i="55"/>
  <c r="P150" i="55"/>
  <c r="O150" i="55"/>
  <c r="M150" i="55"/>
  <c r="J150" i="55"/>
  <c r="P149" i="55"/>
  <c r="O149" i="55"/>
  <c r="M149" i="55"/>
  <c r="J149" i="55"/>
  <c r="P148" i="55"/>
  <c r="O148" i="55"/>
  <c r="M148" i="55"/>
  <c r="J148" i="55"/>
  <c r="P147" i="55"/>
  <c r="O147" i="55"/>
  <c r="M147" i="55"/>
  <c r="J147" i="55"/>
  <c r="P146" i="55"/>
  <c r="O146" i="55"/>
  <c r="M146" i="55"/>
  <c r="J146" i="55"/>
  <c r="P145" i="55"/>
  <c r="O145" i="55"/>
  <c r="M145" i="55"/>
  <c r="J145" i="55"/>
  <c r="P144" i="55"/>
  <c r="O144" i="55"/>
  <c r="M144" i="55"/>
  <c r="J144" i="55"/>
  <c r="P143" i="55"/>
  <c r="O143" i="55"/>
  <c r="M143" i="55"/>
  <c r="J143" i="55"/>
  <c r="P142" i="55"/>
  <c r="O142" i="55"/>
  <c r="M142" i="55"/>
  <c r="J142" i="55"/>
  <c r="P141" i="55"/>
  <c r="O141" i="55"/>
  <c r="M141" i="55"/>
  <c r="J141" i="55"/>
  <c r="P140" i="55"/>
  <c r="O140" i="55"/>
  <c r="M140" i="55"/>
  <c r="J140" i="55"/>
  <c r="P139" i="55"/>
  <c r="O139" i="55"/>
  <c r="M139" i="55"/>
  <c r="J139" i="55"/>
  <c r="P138" i="55"/>
  <c r="O138" i="55"/>
  <c r="M138" i="55"/>
  <c r="J138" i="55"/>
  <c r="P137" i="55"/>
  <c r="O137" i="55"/>
  <c r="M137" i="55"/>
  <c r="J137" i="55"/>
  <c r="P136" i="55"/>
  <c r="O136" i="55"/>
  <c r="M136" i="55"/>
  <c r="J136" i="55"/>
  <c r="P135" i="55"/>
  <c r="O135" i="55"/>
  <c r="M135" i="55"/>
  <c r="J135" i="55"/>
  <c r="P134" i="55"/>
  <c r="O134" i="55"/>
  <c r="M134" i="55"/>
  <c r="J134" i="55"/>
  <c r="P133" i="55"/>
  <c r="O133" i="55"/>
  <c r="M133" i="55"/>
  <c r="J133" i="55"/>
  <c r="P132" i="55"/>
  <c r="O132" i="55"/>
  <c r="M132" i="55"/>
  <c r="J132" i="55"/>
  <c r="P131" i="55"/>
  <c r="O131" i="55"/>
  <c r="M131" i="55"/>
  <c r="J131" i="55"/>
  <c r="O130" i="55"/>
  <c r="M130" i="55"/>
  <c r="O129" i="55"/>
  <c r="M129" i="55"/>
  <c r="O128" i="55"/>
  <c r="M128" i="55"/>
  <c r="O127" i="55"/>
  <c r="M127" i="55"/>
  <c r="O126" i="55"/>
  <c r="M126" i="55"/>
  <c r="O125" i="55"/>
  <c r="M125" i="55"/>
  <c r="O124" i="55"/>
  <c r="M124" i="55"/>
  <c r="O123" i="55"/>
  <c r="M123" i="55"/>
  <c r="O122" i="55"/>
  <c r="M122" i="55"/>
  <c r="O121" i="55"/>
  <c r="M121" i="55"/>
  <c r="O120" i="55"/>
  <c r="M120" i="55"/>
  <c r="O119" i="55"/>
  <c r="M119" i="55"/>
  <c r="O118" i="55"/>
  <c r="M118" i="55"/>
  <c r="O117" i="55"/>
  <c r="M117" i="55"/>
  <c r="O116" i="55"/>
  <c r="M116" i="55"/>
  <c r="O115" i="55"/>
  <c r="M115" i="55"/>
  <c r="O114" i="55"/>
  <c r="M114" i="55"/>
  <c r="O113" i="55"/>
  <c r="M113" i="55"/>
  <c r="O112" i="55"/>
  <c r="M112" i="55"/>
  <c r="O111" i="55"/>
  <c r="M111" i="55"/>
  <c r="O110" i="55"/>
  <c r="M110" i="55"/>
  <c r="O109" i="55"/>
  <c r="M109" i="55"/>
  <c r="O108" i="55"/>
  <c r="M108" i="55"/>
  <c r="O107" i="55"/>
  <c r="M107" i="55"/>
  <c r="O106" i="55"/>
  <c r="M106" i="55"/>
  <c r="O105" i="55"/>
  <c r="M105" i="55"/>
  <c r="O104" i="55"/>
  <c r="M104" i="55"/>
  <c r="O103" i="55"/>
  <c r="M103" i="55"/>
  <c r="O102" i="55"/>
  <c r="M102" i="55"/>
  <c r="O101" i="55"/>
  <c r="M101" i="55"/>
  <c r="O100" i="55"/>
  <c r="M100" i="55"/>
  <c r="O99" i="55"/>
  <c r="M99" i="55"/>
  <c r="C99" i="55"/>
  <c r="D96" i="55"/>
  <c r="J95" i="55"/>
  <c r="D95" i="55"/>
  <c r="J94" i="55"/>
  <c r="L93" i="55"/>
  <c r="J93" i="55"/>
  <c r="D91" i="55"/>
  <c r="N72" i="55"/>
  <c r="L72" i="55"/>
  <c r="N71" i="55"/>
  <c r="L71" i="55"/>
  <c r="N70" i="55"/>
  <c r="L70" i="55"/>
  <c r="N69" i="55"/>
  <c r="L69" i="55"/>
  <c r="N68" i="55"/>
  <c r="L68" i="55"/>
  <c r="N67" i="55"/>
  <c r="L67" i="55"/>
  <c r="N66" i="55"/>
  <c r="L66" i="55"/>
  <c r="N65" i="55"/>
  <c r="L65" i="55"/>
  <c r="N64" i="55"/>
  <c r="L64" i="55"/>
  <c r="N63" i="55"/>
  <c r="L63" i="55"/>
  <c r="N62" i="55"/>
  <c r="L62" i="55"/>
  <c r="N61" i="55"/>
  <c r="L61" i="55"/>
  <c r="N60" i="55"/>
  <c r="L60" i="55"/>
  <c r="N59" i="55"/>
  <c r="L59" i="55"/>
  <c r="N58" i="55"/>
  <c r="L58" i="55"/>
  <c r="N57" i="55"/>
  <c r="L57" i="55"/>
  <c r="N56" i="55"/>
  <c r="L56" i="55"/>
  <c r="N55" i="55"/>
  <c r="L55" i="55"/>
  <c r="N54" i="55"/>
  <c r="L54" i="55"/>
  <c r="N53" i="55"/>
  <c r="L53" i="55"/>
  <c r="N52" i="55"/>
  <c r="L52" i="55"/>
  <c r="N51" i="55"/>
  <c r="L51" i="55"/>
  <c r="N50" i="55"/>
  <c r="L50" i="55"/>
  <c r="N49" i="55"/>
  <c r="L49" i="55"/>
  <c r="N48" i="55"/>
  <c r="L48" i="55"/>
  <c r="N47" i="55"/>
  <c r="L47" i="55"/>
  <c r="N46" i="55"/>
  <c r="L46" i="55"/>
  <c r="N45" i="55"/>
  <c r="L45" i="55"/>
  <c r="N44" i="55"/>
  <c r="L44" i="55"/>
  <c r="N43" i="55"/>
  <c r="L43" i="55"/>
  <c r="N42" i="55"/>
  <c r="L42" i="55"/>
  <c r="N41" i="55"/>
  <c r="L41" i="55"/>
  <c r="N40" i="55"/>
  <c r="L40" i="55"/>
  <c r="N39" i="55"/>
  <c r="L39" i="55"/>
  <c r="N38" i="55"/>
  <c r="L38" i="55"/>
  <c r="N37" i="55"/>
  <c r="L37" i="55"/>
  <c r="N36" i="55"/>
  <c r="L36" i="55"/>
  <c r="N35" i="55"/>
  <c r="L35" i="55"/>
  <c r="N34" i="55"/>
  <c r="L34" i="55"/>
  <c r="N33" i="55"/>
  <c r="L33" i="55"/>
  <c r="N32" i="55"/>
  <c r="L32" i="55"/>
  <c r="N31" i="55"/>
  <c r="L31" i="55"/>
  <c r="N30" i="55"/>
  <c r="L30" i="55"/>
  <c r="N29" i="55"/>
  <c r="L29" i="55"/>
  <c r="N28" i="55"/>
  <c r="L28" i="55"/>
  <c r="N27" i="55"/>
  <c r="L27" i="55"/>
  <c r="N26" i="55"/>
  <c r="L26" i="55"/>
  <c r="N25" i="55"/>
  <c r="L25" i="55"/>
  <c r="N24" i="55"/>
  <c r="L24" i="55"/>
  <c r="N23" i="55"/>
  <c r="L23" i="55"/>
  <c r="N22" i="55"/>
  <c r="L22" i="55"/>
  <c r="N21" i="55"/>
  <c r="L21" i="55"/>
  <c r="N20" i="55"/>
  <c r="L20" i="55"/>
  <c r="N19" i="55"/>
  <c r="L19" i="55"/>
  <c r="N18" i="55"/>
  <c r="L18" i="55"/>
  <c r="N17" i="55"/>
  <c r="L17" i="55"/>
  <c r="C17" i="55"/>
  <c r="K11" i="55"/>
  <c r="I11" i="55"/>
  <c r="P154" i="54"/>
  <c r="O154" i="54"/>
  <c r="M154" i="54"/>
  <c r="J154" i="54"/>
  <c r="P153" i="54"/>
  <c r="O153" i="54"/>
  <c r="M153" i="54"/>
  <c r="J153" i="54"/>
  <c r="P152" i="54"/>
  <c r="O152" i="54"/>
  <c r="M152" i="54"/>
  <c r="J152" i="54"/>
  <c r="P151" i="54"/>
  <c r="O151" i="54"/>
  <c r="M151" i="54"/>
  <c r="J151" i="54"/>
  <c r="P150" i="54"/>
  <c r="O150" i="54"/>
  <c r="M150" i="54"/>
  <c r="J150" i="54"/>
  <c r="P149" i="54"/>
  <c r="O149" i="54"/>
  <c r="M149" i="54"/>
  <c r="J149" i="54"/>
  <c r="P148" i="54"/>
  <c r="O148" i="54"/>
  <c r="M148" i="54"/>
  <c r="J148" i="54"/>
  <c r="P147" i="54"/>
  <c r="O147" i="54"/>
  <c r="M147" i="54"/>
  <c r="J147" i="54"/>
  <c r="P146" i="54"/>
  <c r="O146" i="54"/>
  <c r="M146" i="54"/>
  <c r="J146" i="54"/>
  <c r="P145" i="54"/>
  <c r="O145" i="54"/>
  <c r="M145" i="54"/>
  <c r="J145" i="54"/>
  <c r="P144" i="54"/>
  <c r="O144" i="54"/>
  <c r="M144" i="54"/>
  <c r="J144" i="54"/>
  <c r="P143" i="54"/>
  <c r="O143" i="54"/>
  <c r="M143" i="54"/>
  <c r="J143" i="54"/>
  <c r="P142" i="54"/>
  <c r="O142" i="54"/>
  <c r="M142" i="54"/>
  <c r="J142" i="54"/>
  <c r="P141" i="54"/>
  <c r="O141" i="54"/>
  <c r="M141" i="54"/>
  <c r="J141" i="54"/>
  <c r="P140" i="54"/>
  <c r="O140" i="54"/>
  <c r="M140" i="54"/>
  <c r="J140" i="54"/>
  <c r="P139" i="54"/>
  <c r="O139" i="54"/>
  <c r="M139" i="54"/>
  <c r="J139" i="54"/>
  <c r="P138" i="54"/>
  <c r="O138" i="54"/>
  <c r="M138" i="54"/>
  <c r="J138" i="54"/>
  <c r="P137" i="54"/>
  <c r="O137" i="54"/>
  <c r="M137" i="54"/>
  <c r="J137" i="54"/>
  <c r="P136" i="54"/>
  <c r="O136" i="54"/>
  <c r="M136" i="54"/>
  <c r="J136" i="54"/>
  <c r="P135" i="54"/>
  <c r="O135" i="54"/>
  <c r="M135" i="54"/>
  <c r="J135" i="54"/>
  <c r="P134" i="54"/>
  <c r="O134" i="54"/>
  <c r="M134" i="54"/>
  <c r="J134" i="54"/>
  <c r="P133" i="54"/>
  <c r="O133" i="54"/>
  <c r="M133" i="54"/>
  <c r="J133" i="54"/>
  <c r="P132" i="54"/>
  <c r="O132" i="54"/>
  <c r="M132" i="54"/>
  <c r="J132" i="54"/>
  <c r="P131" i="54"/>
  <c r="O131" i="54"/>
  <c r="M131" i="54"/>
  <c r="J131" i="54"/>
  <c r="O130" i="54"/>
  <c r="M130" i="54"/>
  <c r="O129" i="54"/>
  <c r="M129" i="54"/>
  <c r="O128" i="54"/>
  <c r="M128" i="54"/>
  <c r="O127" i="54"/>
  <c r="M127" i="54"/>
  <c r="O126" i="54"/>
  <c r="M126" i="54"/>
  <c r="O125" i="54"/>
  <c r="M125" i="54"/>
  <c r="O124" i="54"/>
  <c r="M124" i="54"/>
  <c r="O123" i="54"/>
  <c r="M123" i="54"/>
  <c r="O122" i="54"/>
  <c r="M122" i="54"/>
  <c r="O121" i="54"/>
  <c r="M121" i="54"/>
  <c r="O120" i="54"/>
  <c r="M120" i="54"/>
  <c r="O119" i="54"/>
  <c r="M119" i="54"/>
  <c r="O118" i="54"/>
  <c r="M118" i="54"/>
  <c r="O117" i="54"/>
  <c r="M117" i="54"/>
  <c r="O116" i="54"/>
  <c r="M116" i="54"/>
  <c r="O115" i="54"/>
  <c r="M115" i="54"/>
  <c r="O114" i="54"/>
  <c r="M114" i="54"/>
  <c r="O113" i="54"/>
  <c r="M113" i="54"/>
  <c r="O112" i="54"/>
  <c r="M112" i="54"/>
  <c r="O111" i="54"/>
  <c r="M111" i="54"/>
  <c r="O110" i="54"/>
  <c r="M110" i="54"/>
  <c r="O109" i="54"/>
  <c r="M109" i="54"/>
  <c r="O108" i="54"/>
  <c r="M108" i="54"/>
  <c r="O107" i="54"/>
  <c r="M107" i="54"/>
  <c r="O106" i="54"/>
  <c r="M106" i="54"/>
  <c r="O105" i="54"/>
  <c r="M105" i="54"/>
  <c r="O104" i="54"/>
  <c r="M104" i="54"/>
  <c r="O103" i="54"/>
  <c r="M103" i="54"/>
  <c r="O102" i="54"/>
  <c r="M102" i="54"/>
  <c r="O101" i="54"/>
  <c r="M101" i="54"/>
  <c r="O100" i="54"/>
  <c r="M100" i="54"/>
  <c r="O99" i="54"/>
  <c r="M99" i="54"/>
  <c r="C99" i="54"/>
  <c r="C100" i="54" s="1"/>
  <c r="C101" i="54" s="1"/>
  <c r="C102" i="54" s="1"/>
  <c r="C103" i="54" s="1"/>
  <c r="C104" i="54" s="1"/>
  <c r="C105" i="54" s="1"/>
  <c r="C106" i="54" s="1"/>
  <c r="C107" i="54" s="1"/>
  <c r="C108" i="54" s="1"/>
  <c r="C109" i="54" s="1"/>
  <c r="C110" i="54" s="1"/>
  <c r="C111" i="54" s="1"/>
  <c r="C112" i="54" s="1"/>
  <c r="C113" i="54" s="1"/>
  <c r="C114" i="54" s="1"/>
  <c r="C115" i="54" s="1"/>
  <c r="C116" i="54" s="1"/>
  <c r="C117" i="54" s="1"/>
  <c r="C118" i="54" s="1"/>
  <c r="C119" i="54" s="1"/>
  <c r="C120" i="54" s="1"/>
  <c r="C121" i="54" s="1"/>
  <c r="C122" i="54" s="1"/>
  <c r="C123" i="54" s="1"/>
  <c r="C124" i="54" s="1"/>
  <c r="C125" i="54" s="1"/>
  <c r="C126" i="54" s="1"/>
  <c r="D96" i="54"/>
  <c r="D95" i="54"/>
  <c r="J94" i="54"/>
  <c r="L93" i="54"/>
  <c r="J93" i="54"/>
  <c r="D91" i="54"/>
  <c r="N72" i="54"/>
  <c r="L72" i="54"/>
  <c r="N71" i="54"/>
  <c r="L71" i="54"/>
  <c r="N70" i="54"/>
  <c r="L70" i="54"/>
  <c r="N69" i="54"/>
  <c r="L69" i="54"/>
  <c r="N68" i="54"/>
  <c r="L68" i="54"/>
  <c r="N67" i="54"/>
  <c r="L67" i="54"/>
  <c r="N66" i="54"/>
  <c r="L66" i="54"/>
  <c r="N65" i="54"/>
  <c r="L65" i="54"/>
  <c r="N64" i="54"/>
  <c r="L64" i="54"/>
  <c r="N63" i="54"/>
  <c r="L63" i="54"/>
  <c r="N62" i="54"/>
  <c r="L62" i="54"/>
  <c r="N61" i="54"/>
  <c r="L61" i="54"/>
  <c r="N60" i="54"/>
  <c r="L60" i="54"/>
  <c r="N59" i="54"/>
  <c r="L59" i="54"/>
  <c r="N58" i="54"/>
  <c r="L58" i="54"/>
  <c r="N57" i="54"/>
  <c r="L57" i="54"/>
  <c r="N56" i="54"/>
  <c r="L56" i="54"/>
  <c r="N55" i="54"/>
  <c r="L55" i="54"/>
  <c r="N54" i="54"/>
  <c r="L54" i="54"/>
  <c r="N53" i="54"/>
  <c r="L53" i="54"/>
  <c r="N52" i="54"/>
  <c r="L52" i="54"/>
  <c r="N51" i="54"/>
  <c r="L51" i="54"/>
  <c r="N50" i="54"/>
  <c r="L50" i="54"/>
  <c r="N49" i="54"/>
  <c r="L49" i="54"/>
  <c r="N48" i="54"/>
  <c r="L48" i="54"/>
  <c r="N47" i="54"/>
  <c r="L47" i="54"/>
  <c r="N46" i="54"/>
  <c r="L46" i="54"/>
  <c r="N45" i="54"/>
  <c r="L45" i="54"/>
  <c r="N44" i="54"/>
  <c r="L44" i="54"/>
  <c r="N43" i="54"/>
  <c r="L43" i="54"/>
  <c r="N42" i="54"/>
  <c r="L42" i="54"/>
  <c r="N41" i="54"/>
  <c r="L41" i="54"/>
  <c r="N40" i="54"/>
  <c r="L40" i="54"/>
  <c r="N39" i="54"/>
  <c r="L39" i="54"/>
  <c r="N38" i="54"/>
  <c r="L38" i="54"/>
  <c r="N37" i="54"/>
  <c r="L37" i="54"/>
  <c r="N36" i="54"/>
  <c r="L36" i="54"/>
  <c r="N35" i="54"/>
  <c r="L35" i="54"/>
  <c r="N34" i="54"/>
  <c r="L34" i="54"/>
  <c r="N33" i="54"/>
  <c r="L33" i="54"/>
  <c r="N32" i="54"/>
  <c r="L32" i="54"/>
  <c r="N31" i="54"/>
  <c r="L31" i="54"/>
  <c r="N30" i="54"/>
  <c r="L30" i="54"/>
  <c r="N29" i="54"/>
  <c r="L29" i="54"/>
  <c r="N28" i="54"/>
  <c r="L28" i="54"/>
  <c r="N27" i="54"/>
  <c r="L27" i="54"/>
  <c r="N26" i="54"/>
  <c r="L26" i="54"/>
  <c r="N25" i="54"/>
  <c r="L25" i="54"/>
  <c r="N24" i="54"/>
  <c r="L24" i="54"/>
  <c r="N23" i="54"/>
  <c r="L23" i="54"/>
  <c r="N22" i="54"/>
  <c r="L22" i="54"/>
  <c r="N21" i="54"/>
  <c r="L21" i="54"/>
  <c r="N20" i="54"/>
  <c r="L20" i="54"/>
  <c r="N19" i="54"/>
  <c r="L19" i="54"/>
  <c r="N18" i="54"/>
  <c r="L18" i="54"/>
  <c r="N17" i="54"/>
  <c r="L17" i="54"/>
  <c r="C17" i="54"/>
  <c r="C18" i="54" s="1"/>
  <c r="C19" i="54" s="1"/>
  <c r="C20" i="54" s="1"/>
  <c r="C21" i="54" s="1"/>
  <c r="C22" i="54" s="1"/>
  <c r="C23" i="54" s="1"/>
  <c r="C24" i="54" s="1"/>
  <c r="C25" i="54" s="1"/>
  <c r="C26" i="54" s="1"/>
  <c r="C27" i="54" s="1"/>
  <c r="C28" i="54" s="1"/>
  <c r="C29" i="54" s="1"/>
  <c r="C30" i="54" s="1"/>
  <c r="C31" i="54" s="1"/>
  <c r="C32" i="54" s="1"/>
  <c r="C33" i="54" s="1"/>
  <c r="C34" i="54" s="1"/>
  <c r="C35" i="54" s="1"/>
  <c r="C36" i="54" s="1"/>
  <c r="C37" i="54" s="1"/>
  <c r="C38" i="54" s="1"/>
  <c r="C39" i="54" s="1"/>
  <c r="C40" i="54" s="1"/>
  <c r="C41" i="54" s="1"/>
  <c r="C42" i="54" s="1"/>
  <c r="C43" i="54" s="1"/>
  <c r="C44" i="54" s="1"/>
  <c r="K11" i="54"/>
  <c r="I11" i="54"/>
  <c r="D8" i="54"/>
  <c r="D90" i="54" s="1"/>
  <c r="P50" i="17"/>
  <c r="L50" i="17"/>
  <c r="V50" i="17" s="1"/>
  <c r="P49" i="17"/>
  <c r="L49" i="17"/>
  <c r="V49" i="17" s="1"/>
  <c r="P118" i="54" l="1"/>
  <c r="P122" i="54"/>
  <c r="P126" i="54"/>
  <c r="P130" i="54"/>
  <c r="P103" i="55"/>
  <c r="P107" i="55"/>
  <c r="E17" i="55"/>
  <c r="F17" i="55" s="1"/>
  <c r="P101" i="55"/>
  <c r="O18" i="54"/>
  <c r="O50" i="54"/>
  <c r="O54" i="54"/>
  <c r="O22" i="54"/>
  <c r="O38" i="55"/>
  <c r="O62" i="55"/>
  <c r="O70" i="55"/>
  <c r="O48" i="54"/>
  <c r="O17" i="55"/>
  <c r="O21" i="55"/>
  <c r="O25" i="55"/>
  <c r="O29" i="55"/>
  <c r="O33" i="55"/>
  <c r="O37" i="55"/>
  <c r="O45" i="55"/>
  <c r="O49" i="55"/>
  <c r="O57" i="55"/>
  <c r="O61" i="55"/>
  <c r="O65" i="55"/>
  <c r="O23" i="54"/>
  <c r="O51" i="54"/>
  <c r="O59" i="54"/>
  <c r="O55" i="55"/>
  <c r="O67" i="55"/>
  <c r="O71" i="55"/>
  <c r="P105" i="55"/>
  <c r="P109" i="55"/>
  <c r="P129" i="55"/>
  <c r="P113" i="54"/>
  <c r="P114" i="54"/>
  <c r="P117" i="55"/>
  <c r="P113" i="55"/>
  <c r="P121" i="55"/>
  <c r="O20" i="55"/>
  <c r="O40" i="55"/>
  <c r="O44" i="55"/>
  <c r="O48" i="55"/>
  <c r="O56" i="55"/>
  <c r="O64" i="55"/>
  <c r="P104" i="55"/>
  <c r="P108" i="55"/>
  <c r="P128" i="55"/>
  <c r="O18" i="55"/>
  <c r="O42" i="55"/>
  <c r="O39" i="55"/>
  <c r="O63" i="55"/>
  <c r="P100" i="55"/>
  <c r="O34" i="55"/>
  <c r="O46" i="55"/>
  <c r="O50" i="55"/>
  <c r="O54" i="55"/>
  <c r="O58" i="55"/>
  <c r="P106" i="55"/>
  <c r="P110" i="55"/>
  <c r="P114" i="55"/>
  <c r="P125" i="55"/>
  <c r="P122" i="55"/>
  <c r="P115" i="55"/>
  <c r="O26" i="55"/>
  <c r="O41" i="55"/>
  <c r="O23" i="55"/>
  <c r="O31" i="55"/>
  <c r="P111" i="55"/>
  <c r="P118" i="55"/>
  <c r="O24" i="55"/>
  <c r="O35" i="55"/>
  <c r="O53" i="55"/>
  <c r="O66" i="55"/>
  <c r="P112" i="55"/>
  <c r="P119" i="55"/>
  <c r="P126" i="55"/>
  <c r="O28" i="55"/>
  <c r="O32" i="55"/>
  <c r="P102" i="55"/>
  <c r="P116" i="55"/>
  <c r="P123" i="55"/>
  <c r="P130" i="55"/>
  <c r="P99" i="55"/>
  <c r="P120" i="55"/>
  <c r="P127" i="55"/>
  <c r="P124" i="55"/>
  <c r="O22" i="55"/>
  <c r="O30" i="55"/>
  <c r="O72" i="55"/>
  <c r="O29" i="54"/>
  <c r="O33" i="54"/>
  <c r="O37" i="54"/>
  <c r="O26" i="54"/>
  <c r="O46" i="54"/>
  <c r="O27" i="54"/>
  <c r="O39" i="54"/>
  <c r="O67" i="54"/>
  <c r="P119" i="54"/>
  <c r="P123" i="54"/>
  <c r="P127" i="54"/>
  <c r="O28" i="54"/>
  <c r="O36" i="54"/>
  <c r="O40" i="54"/>
  <c r="O56" i="54"/>
  <c r="O72" i="54"/>
  <c r="P125" i="54"/>
  <c r="P129" i="54"/>
  <c r="O20" i="54"/>
  <c r="O31" i="54"/>
  <c r="O35" i="54"/>
  <c r="O43" i="54"/>
  <c r="O47" i="54"/>
  <c r="O55" i="54"/>
  <c r="O62" i="54"/>
  <c r="O66" i="54"/>
  <c r="P111" i="54"/>
  <c r="O63" i="54"/>
  <c r="O71" i="54"/>
  <c r="P100" i="54"/>
  <c r="P108" i="54"/>
  <c r="P112" i="54"/>
  <c r="O21" i="54"/>
  <c r="O64" i="54"/>
  <c r="O68" i="54"/>
  <c r="P116" i="54"/>
  <c r="P120" i="54"/>
  <c r="P124" i="54"/>
  <c r="P128" i="54"/>
  <c r="P104" i="54"/>
  <c r="O19" i="54"/>
  <c r="O30" i="54"/>
  <c r="O34" i="54"/>
  <c r="O69" i="54"/>
  <c r="P102" i="54"/>
  <c r="P106" i="54"/>
  <c r="P110" i="54"/>
  <c r="O41" i="54"/>
  <c r="P101" i="54"/>
  <c r="P117" i="54"/>
  <c r="P105" i="54"/>
  <c r="P121" i="54"/>
  <c r="O24" i="54"/>
  <c r="O38" i="54"/>
  <c r="O42" i="54"/>
  <c r="O49" i="54"/>
  <c r="O70" i="54"/>
  <c r="P99" i="54"/>
  <c r="P115" i="54"/>
  <c r="O52" i="54"/>
  <c r="P109" i="54"/>
  <c r="O25" i="54"/>
  <c r="O61" i="54"/>
  <c r="P103" i="54"/>
  <c r="O58" i="54"/>
  <c r="O65" i="54"/>
  <c r="P107" i="54"/>
  <c r="O27" i="55"/>
  <c r="O19" i="55"/>
  <c r="C18" i="55"/>
  <c r="C19" i="55" s="1"/>
  <c r="C20" i="55" s="1"/>
  <c r="C21" i="55" s="1"/>
  <c r="C22" i="55" s="1"/>
  <c r="C23" i="55" s="1"/>
  <c r="C24" i="55" s="1"/>
  <c r="C25" i="55" s="1"/>
  <c r="C26" i="55" s="1"/>
  <c r="C27" i="55" s="1"/>
  <c r="C28" i="55" s="1"/>
  <c r="C29" i="55" s="1"/>
  <c r="C30" i="55" s="1"/>
  <c r="C31" i="55" s="1"/>
  <c r="C32" i="55" s="1"/>
  <c r="C33" i="55" s="1"/>
  <c r="C34" i="55" s="1"/>
  <c r="C35" i="55" s="1"/>
  <c r="C36" i="55" s="1"/>
  <c r="C37" i="55" s="1"/>
  <c r="C38" i="55" s="1"/>
  <c r="C39" i="55" s="1"/>
  <c r="C40" i="55" s="1"/>
  <c r="C41" i="55" s="1"/>
  <c r="C42" i="55" s="1"/>
  <c r="C43" i="55" s="1"/>
  <c r="C44" i="55" s="1"/>
  <c r="O47" i="55"/>
  <c r="O43" i="55"/>
  <c r="O60" i="55"/>
  <c r="O36" i="55"/>
  <c r="O59" i="55"/>
  <c r="O52" i="55"/>
  <c r="O51" i="55"/>
  <c r="O68" i="55"/>
  <c r="O69" i="55"/>
  <c r="C100" i="55"/>
  <c r="C101" i="55" s="1"/>
  <c r="C102" i="55" s="1"/>
  <c r="C103" i="55" s="1"/>
  <c r="C104" i="55" s="1"/>
  <c r="C105" i="55" s="1"/>
  <c r="C106" i="55" s="1"/>
  <c r="C107" i="55" s="1"/>
  <c r="C108" i="55" s="1"/>
  <c r="C109" i="55" s="1"/>
  <c r="C110" i="55" s="1"/>
  <c r="C111" i="55" s="1"/>
  <c r="C112" i="55" s="1"/>
  <c r="C113" i="55" s="1"/>
  <c r="C114" i="55" s="1"/>
  <c r="C115" i="55" s="1"/>
  <c r="C116" i="55" s="1"/>
  <c r="C117" i="55" s="1"/>
  <c r="C118" i="55" s="1"/>
  <c r="C119" i="55" s="1"/>
  <c r="C120" i="55" s="1"/>
  <c r="C121" i="55" s="1"/>
  <c r="C122" i="55" s="1"/>
  <c r="C123" i="55" s="1"/>
  <c r="C124" i="55" s="1"/>
  <c r="C125" i="55" s="1"/>
  <c r="C126" i="55" s="1"/>
  <c r="C45" i="54"/>
  <c r="C46" i="54" s="1"/>
  <c r="C47" i="54" s="1"/>
  <c r="C48" i="54" s="1"/>
  <c r="C49" i="54" s="1"/>
  <c r="C50" i="54" s="1"/>
  <c r="C51" i="54" s="1"/>
  <c r="C52" i="54" s="1"/>
  <c r="C53" i="54" s="1"/>
  <c r="C54" i="54" s="1"/>
  <c r="C55" i="54" s="1"/>
  <c r="C56" i="54" s="1"/>
  <c r="C57" i="54" s="1"/>
  <c r="C58" i="54" s="1"/>
  <c r="C59" i="54" s="1"/>
  <c r="C60" i="54" s="1"/>
  <c r="C61" i="54" s="1"/>
  <c r="C62" i="54" s="1"/>
  <c r="C63" i="54" s="1"/>
  <c r="C64" i="54" s="1"/>
  <c r="C65" i="54" s="1"/>
  <c r="C66" i="54" s="1"/>
  <c r="C67" i="54" s="1"/>
  <c r="C68" i="54" s="1"/>
  <c r="C69" i="54" s="1"/>
  <c r="C70" i="54" s="1"/>
  <c r="C71" i="54" s="1"/>
  <c r="C72" i="54" s="1"/>
  <c r="O57" i="54"/>
  <c r="J95" i="54"/>
  <c r="O17" i="54"/>
  <c r="O60" i="54"/>
  <c r="O32" i="54"/>
  <c r="C127" i="54"/>
  <c r="C128" i="54" s="1"/>
  <c r="C129" i="54" s="1"/>
  <c r="C130" i="54" s="1"/>
  <c r="C131" i="54" s="1"/>
  <c r="C132" i="54" s="1"/>
  <c r="C133" i="54" s="1"/>
  <c r="C134" i="54" s="1"/>
  <c r="C135" i="54" s="1"/>
  <c r="C136" i="54" s="1"/>
  <c r="C137" i="54" s="1"/>
  <c r="C138" i="54" s="1"/>
  <c r="C139" i="54" s="1"/>
  <c r="C140" i="54" s="1"/>
  <c r="C141" i="54" s="1"/>
  <c r="C142" i="54" s="1"/>
  <c r="C143" i="54" s="1"/>
  <c r="C144" i="54" s="1"/>
  <c r="C145" i="54" s="1"/>
  <c r="C146" i="54" s="1"/>
  <c r="C147" i="54" s="1"/>
  <c r="C148" i="54" s="1"/>
  <c r="C149" i="54" s="1"/>
  <c r="C150" i="54" s="1"/>
  <c r="C151" i="54" s="1"/>
  <c r="C152" i="54" s="1"/>
  <c r="C153" i="54" s="1"/>
  <c r="C154" i="54" s="1"/>
  <c r="O53" i="54"/>
  <c r="O44" i="54"/>
  <c r="O45" i="54"/>
  <c r="C45" i="55" l="1"/>
  <c r="C46" i="55" s="1"/>
  <c r="C47" i="55" s="1"/>
  <c r="C48" i="55" s="1"/>
  <c r="C49" i="55" s="1"/>
  <c r="C50" i="55" s="1"/>
  <c r="C51" i="55" s="1"/>
  <c r="C52" i="55" s="1"/>
  <c r="C53" i="55" s="1"/>
  <c r="C54" i="55" s="1"/>
  <c r="C55" i="55" s="1"/>
  <c r="C56" i="55" s="1"/>
  <c r="C57" i="55" s="1"/>
  <c r="C58" i="55" s="1"/>
  <c r="C59" i="55" s="1"/>
  <c r="C60" i="55" s="1"/>
  <c r="C61" i="55" s="1"/>
  <c r="C62" i="55" s="1"/>
  <c r="C63" i="55" s="1"/>
  <c r="C64" i="55" s="1"/>
  <c r="C65" i="55" s="1"/>
  <c r="C66" i="55" s="1"/>
  <c r="C67" i="55" s="1"/>
  <c r="C68" i="55" s="1"/>
  <c r="C69" i="55" s="1"/>
  <c r="C70" i="55" s="1"/>
  <c r="C71" i="55" s="1"/>
  <c r="C72" i="55" s="1"/>
  <c r="C127" i="55"/>
  <c r="C128" i="55" s="1"/>
  <c r="C129" i="55" s="1"/>
  <c r="C130" i="55" s="1"/>
  <c r="C131" i="55" s="1"/>
  <c r="C132" i="55" s="1"/>
  <c r="C133" i="55" s="1"/>
  <c r="C134" i="55" s="1"/>
  <c r="C135" i="55" s="1"/>
  <c r="C136" i="55" s="1"/>
  <c r="C137" i="55" s="1"/>
  <c r="C138" i="55" s="1"/>
  <c r="C139" i="55" s="1"/>
  <c r="C140" i="55" s="1"/>
  <c r="C141" i="55" s="1"/>
  <c r="C142" i="55" s="1"/>
  <c r="C143" i="55" s="1"/>
  <c r="C144" i="55" s="1"/>
  <c r="C145" i="55" s="1"/>
  <c r="C146" i="55" s="1"/>
  <c r="C147" i="55" s="1"/>
  <c r="C148" i="55" s="1"/>
  <c r="C149" i="55" s="1"/>
  <c r="C150" i="55" s="1"/>
  <c r="C151" i="55" s="1"/>
  <c r="C152" i="55" s="1"/>
  <c r="C153" i="55" s="1"/>
  <c r="C154" i="55" s="1"/>
  <c r="D18" i="55"/>
  <c r="B18" i="55" l="1"/>
  <c r="M18" i="49" l="1"/>
  <c r="N18" i="49" s="1"/>
  <c r="O18" i="49" s="1"/>
  <c r="K18" i="49"/>
  <c r="L18" i="49" s="1"/>
  <c r="N100" i="48"/>
  <c r="O100" i="48" s="1"/>
  <c r="L100" i="48"/>
  <c r="M100" i="48" s="1"/>
  <c r="M19" i="48"/>
  <c r="N19" i="48" s="1"/>
  <c r="O19" i="48" s="1"/>
  <c r="K19" i="48"/>
  <c r="L19" i="48" s="1"/>
  <c r="M18" i="48"/>
  <c r="N18" i="48" s="1"/>
  <c r="O18" i="48" s="1"/>
  <c r="K18" i="48"/>
  <c r="L18" i="48" s="1"/>
  <c r="N100" i="47"/>
  <c r="O100" i="47" s="1"/>
  <c r="L100" i="47"/>
  <c r="M100" i="47" s="1"/>
  <c r="M18" i="47"/>
  <c r="N18" i="47" s="1"/>
  <c r="O18" i="47" s="1"/>
  <c r="K18" i="47"/>
  <c r="L18" i="47" s="1"/>
  <c r="N100" i="46"/>
  <c r="O100" i="46" s="1"/>
  <c r="L100" i="46"/>
  <c r="M100" i="46" s="1"/>
  <c r="M20" i="46"/>
  <c r="N20" i="46" s="1"/>
  <c r="O20" i="46" s="1"/>
  <c r="K20" i="46"/>
  <c r="L20" i="46" s="1"/>
  <c r="N101" i="45"/>
  <c r="O101" i="45" s="1"/>
  <c r="P101" i="45" s="1"/>
  <c r="L101" i="45"/>
  <c r="M101" i="45" s="1"/>
  <c r="N21" i="45"/>
  <c r="O21" i="45" s="1"/>
  <c r="M21" i="45"/>
  <c r="K21" i="45"/>
  <c r="L21" i="45" s="1"/>
  <c r="N101" i="44"/>
  <c r="O101" i="44" s="1"/>
  <c r="P101" i="44" s="1"/>
  <c r="L101" i="44"/>
  <c r="M101" i="44" s="1"/>
  <c r="M21" i="44"/>
  <c r="N21" i="44" s="1"/>
  <c r="O21" i="44" s="1"/>
  <c r="K21" i="44"/>
  <c r="L21" i="44" s="1"/>
  <c r="N102" i="43"/>
  <c r="O102" i="43" s="1"/>
  <c r="L102" i="43"/>
  <c r="M102" i="43" s="1"/>
  <c r="M22" i="43"/>
  <c r="N22" i="43" s="1"/>
  <c r="K22" i="43"/>
  <c r="L22" i="43" s="1"/>
  <c r="N102" i="42"/>
  <c r="O102" i="42" s="1"/>
  <c r="P102" i="42" s="1"/>
  <c r="L102" i="42"/>
  <c r="M102" i="42" s="1"/>
  <c r="M22" i="42"/>
  <c r="N22" i="42" s="1"/>
  <c r="O22" i="42" s="1"/>
  <c r="K22" i="42"/>
  <c r="L22" i="42" s="1"/>
  <c r="N102" i="41"/>
  <c r="O102" i="41" s="1"/>
  <c r="P102" i="41" s="1"/>
  <c r="L102" i="41"/>
  <c r="M102" i="41" s="1"/>
  <c r="M22" i="41"/>
  <c r="N22" i="41" s="1"/>
  <c r="O22" i="41" s="1"/>
  <c r="K22" i="41"/>
  <c r="L22" i="41" s="1"/>
  <c r="N102" i="40"/>
  <c r="O102" i="40" s="1"/>
  <c r="L102" i="40"/>
  <c r="M102" i="40" s="1"/>
  <c r="M22" i="40"/>
  <c r="N22" i="40" s="1"/>
  <c r="O22" i="40" s="1"/>
  <c r="K22" i="40"/>
  <c r="L22" i="40" s="1"/>
  <c r="N103" i="39"/>
  <c r="O103" i="39" s="1"/>
  <c r="L103" i="39"/>
  <c r="M103" i="39" s="1"/>
  <c r="M23" i="39"/>
  <c r="N23" i="39" s="1"/>
  <c r="O23" i="39" s="1"/>
  <c r="K23" i="39"/>
  <c r="L23" i="39" s="1"/>
  <c r="P100" i="47" l="1"/>
  <c r="P100" i="46"/>
  <c r="P102" i="40"/>
  <c r="P100" i="48"/>
  <c r="P102" i="43"/>
  <c r="O22" i="43"/>
  <c r="P103" i="39"/>
  <c r="N102" i="38"/>
  <c r="O102" i="38" s="1"/>
  <c r="L102" i="38"/>
  <c r="M102" i="38" s="1"/>
  <c r="M23" i="38"/>
  <c r="N23" i="38" s="1"/>
  <c r="O23" i="38" s="1"/>
  <c r="K23" i="38"/>
  <c r="L23" i="38" s="1"/>
  <c r="N103" i="37"/>
  <c r="O103" i="37" s="1"/>
  <c r="L103" i="37"/>
  <c r="M103" i="37" s="1"/>
  <c r="M23" i="37"/>
  <c r="N23" i="37" s="1"/>
  <c r="K23" i="37"/>
  <c r="L23" i="37" s="1"/>
  <c r="N106" i="31"/>
  <c r="O106" i="31" s="1"/>
  <c r="L106" i="31"/>
  <c r="M106" i="31" s="1"/>
  <c r="M26" i="31"/>
  <c r="N26" i="31" s="1"/>
  <c r="K26" i="31"/>
  <c r="L26" i="31" s="1"/>
  <c r="N105" i="30"/>
  <c r="O105" i="30" s="1"/>
  <c r="L105" i="30"/>
  <c r="M105" i="30" s="1"/>
  <c r="N25" i="30"/>
  <c r="M25" i="30"/>
  <c r="K25" i="30"/>
  <c r="L25" i="30" s="1"/>
  <c r="N106" i="29"/>
  <c r="O106" i="29" s="1"/>
  <c r="P106" i="29" s="1"/>
  <c r="L106" i="29"/>
  <c r="M106" i="29" s="1"/>
  <c r="M26" i="29"/>
  <c r="N26" i="29" s="1"/>
  <c r="O26" i="29" s="1"/>
  <c r="L26" i="29"/>
  <c r="K26" i="29"/>
  <c r="N106" i="28"/>
  <c r="O106" i="28" s="1"/>
  <c r="L106" i="28"/>
  <c r="M106" i="28" s="1"/>
  <c r="M26" i="28"/>
  <c r="N26" i="28" s="1"/>
  <c r="K26" i="28"/>
  <c r="L26" i="28" s="1"/>
  <c r="N107" i="27"/>
  <c r="O107" i="27" s="1"/>
  <c r="L107" i="27"/>
  <c r="M107" i="27" s="1"/>
  <c r="M27" i="27"/>
  <c r="N27" i="27" s="1"/>
  <c r="O27" i="27" s="1"/>
  <c r="K27" i="27"/>
  <c r="L27" i="27" s="1"/>
  <c r="N110" i="25"/>
  <c r="O110" i="25" s="1"/>
  <c r="P110" i="25" s="1"/>
  <c r="L110" i="25"/>
  <c r="M110" i="25" s="1"/>
  <c r="M30" i="25"/>
  <c r="N30" i="25" s="1"/>
  <c r="O30" i="25" s="1"/>
  <c r="L30" i="25"/>
  <c r="K30" i="25"/>
  <c r="N108" i="24"/>
  <c r="O108" i="24" s="1"/>
  <c r="L108" i="24"/>
  <c r="M108" i="24" s="1"/>
  <c r="M28" i="24"/>
  <c r="N28" i="24" s="1"/>
  <c r="O28" i="24" s="1"/>
  <c r="K28" i="24"/>
  <c r="L28" i="24" s="1"/>
  <c r="N109" i="23"/>
  <c r="O109" i="23" s="1"/>
  <c r="P109" i="23" s="1"/>
  <c r="L109" i="23"/>
  <c r="M109" i="23" s="1"/>
  <c r="M29" i="23"/>
  <c r="N29" i="23" s="1"/>
  <c r="K29" i="23"/>
  <c r="L29" i="23" s="1"/>
  <c r="N110" i="22"/>
  <c r="O110" i="22" s="1"/>
  <c r="L110" i="22"/>
  <c r="M110" i="22" s="1"/>
  <c r="M30" i="22"/>
  <c r="N30" i="22" s="1"/>
  <c r="O30" i="22" s="1"/>
  <c r="K30" i="22"/>
  <c r="L30" i="22" s="1"/>
  <c r="N113" i="11"/>
  <c r="O113" i="11" s="1"/>
  <c r="P113" i="11" s="1"/>
  <c r="L113" i="11"/>
  <c r="M113" i="11" s="1"/>
  <c r="M33" i="11"/>
  <c r="N33" i="11" s="1"/>
  <c r="O33" i="11" s="1"/>
  <c r="K33" i="11"/>
  <c r="L33" i="11" s="1"/>
  <c r="N114" i="10"/>
  <c r="O114" i="10" s="1"/>
  <c r="L114" i="10"/>
  <c r="M114" i="10" s="1"/>
  <c r="M34" i="10"/>
  <c r="N34" i="10" s="1"/>
  <c r="K34" i="10"/>
  <c r="L34" i="10" s="1"/>
  <c r="N113" i="9"/>
  <c r="O113" i="9" s="1"/>
  <c r="L113" i="9"/>
  <c r="M113" i="9" s="1"/>
  <c r="M33" i="9"/>
  <c r="N33" i="9" s="1"/>
  <c r="K33" i="9"/>
  <c r="L33" i="9" s="1"/>
  <c r="N112" i="8"/>
  <c r="O112" i="8" s="1"/>
  <c r="L112" i="8"/>
  <c r="M112" i="8" s="1"/>
  <c r="M32" i="8"/>
  <c r="N32" i="8" s="1"/>
  <c r="K32" i="8"/>
  <c r="L32" i="8" s="1"/>
  <c r="N114" i="7"/>
  <c r="O114" i="7" s="1"/>
  <c r="P114" i="7" s="1"/>
  <c r="L114" i="7"/>
  <c r="M114" i="7" s="1"/>
  <c r="N34" i="7"/>
  <c r="O34" i="7" s="1"/>
  <c r="M34" i="7"/>
  <c r="K34" i="7"/>
  <c r="L34" i="7" s="1"/>
  <c r="N112" i="6"/>
  <c r="O112" i="6" s="1"/>
  <c r="P112" i="6" s="1"/>
  <c r="L112" i="6"/>
  <c r="M112" i="6" s="1"/>
  <c r="M32" i="6"/>
  <c r="N32" i="6" s="1"/>
  <c r="O32" i="6" s="1"/>
  <c r="L32" i="6"/>
  <c r="K32" i="6"/>
  <c r="N111" i="5"/>
  <c r="O111" i="5" s="1"/>
  <c r="L111" i="5"/>
  <c r="M111" i="5" s="1"/>
  <c r="M31" i="5"/>
  <c r="N31" i="5" s="1"/>
  <c r="O31" i="5" s="1"/>
  <c r="K31" i="5"/>
  <c r="L31" i="5" s="1"/>
  <c r="N111" i="4"/>
  <c r="O111" i="4" s="1"/>
  <c r="L111" i="4"/>
  <c r="M111" i="4" s="1"/>
  <c r="M31" i="4"/>
  <c r="N31" i="4" s="1"/>
  <c r="K31" i="4"/>
  <c r="L31" i="4" s="1"/>
  <c r="N111" i="3"/>
  <c r="O111" i="3" s="1"/>
  <c r="P111" i="3" s="1"/>
  <c r="L111" i="3"/>
  <c r="M111" i="3" s="1"/>
  <c r="M31" i="3"/>
  <c r="N31" i="3" s="1"/>
  <c r="O31" i="3" s="1"/>
  <c r="K31" i="3"/>
  <c r="L31" i="3" s="1"/>
  <c r="L99" i="47"/>
  <c r="N99" i="47"/>
  <c r="P102" i="38" l="1"/>
  <c r="P103" i="37"/>
  <c r="P107" i="27"/>
  <c r="P114" i="10"/>
  <c r="O23" i="37"/>
  <c r="P106" i="31"/>
  <c r="O26" i="31"/>
  <c r="O25" i="30"/>
  <c r="P106" i="28"/>
  <c r="O26" i="28"/>
  <c r="P108" i="24"/>
  <c r="O29" i="23"/>
  <c r="O34" i="10"/>
  <c r="P113" i="9"/>
  <c r="O33" i="9"/>
  <c r="P112" i="8"/>
  <c r="O32" i="8"/>
  <c r="P111" i="5"/>
  <c r="P111" i="4"/>
  <c r="O31" i="4"/>
  <c r="M19" i="46" l="1"/>
  <c r="K19" i="46"/>
  <c r="L19" i="46" s="1"/>
  <c r="M20" i="45"/>
  <c r="K20" i="45"/>
  <c r="L20" i="45" s="1"/>
  <c r="M20" i="44"/>
  <c r="K20" i="44"/>
  <c r="L20" i="44" s="1"/>
  <c r="M21" i="43"/>
  <c r="K21" i="43"/>
  <c r="L21" i="43" s="1"/>
  <c r="M21" i="42"/>
  <c r="K21" i="42"/>
  <c r="L21" i="42" s="1"/>
  <c r="M21" i="41"/>
  <c r="K21" i="41"/>
  <c r="L21" i="41" s="1"/>
  <c r="M21" i="40"/>
  <c r="K21" i="40"/>
  <c r="L21" i="40" s="1"/>
  <c r="M22" i="39"/>
  <c r="K22" i="39"/>
  <c r="L22" i="39" s="1"/>
  <c r="M22" i="38"/>
  <c r="K22" i="38"/>
  <c r="L22" i="38" s="1"/>
  <c r="M22" i="37"/>
  <c r="K22" i="37"/>
  <c r="L22" i="37" s="1"/>
  <c r="M25" i="31"/>
  <c r="K25" i="31"/>
  <c r="L25" i="31" s="1"/>
  <c r="M24" i="30"/>
  <c r="K24" i="30"/>
  <c r="L24" i="30" s="1"/>
  <c r="M25" i="29"/>
  <c r="K25" i="29"/>
  <c r="L25" i="29" s="1"/>
  <c r="M25" i="28"/>
  <c r="K25" i="28"/>
  <c r="L25" i="28" s="1"/>
  <c r="M26" i="27"/>
  <c r="K26" i="27"/>
  <c r="L26" i="27" s="1"/>
  <c r="M29" i="25"/>
  <c r="K29" i="25"/>
  <c r="L29" i="25" s="1"/>
  <c r="M27" i="24"/>
  <c r="K27" i="24"/>
  <c r="L27" i="24" s="1"/>
  <c r="M28" i="23"/>
  <c r="K28" i="23"/>
  <c r="L28" i="23" s="1"/>
  <c r="M29" i="22"/>
  <c r="K29" i="22"/>
  <c r="L29" i="22" s="1"/>
  <c r="M32" i="11"/>
  <c r="K32" i="11"/>
  <c r="L32" i="11" s="1"/>
  <c r="M33" i="10"/>
  <c r="K33" i="10"/>
  <c r="L33" i="10" s="1"/>
  <c r="M32" i="9"/>
  <c r="K32" i="9"/>
  <c r="L32" i="9" s="1"/>
  <c r="M31" i="8"/>
  <c r="K31" i="8"/>
  <c r="L31" i="8" s="1"/>
  <c r="M33" i="7"/>
  <c r="K33" i="7"/>
  <c r="L33" i="7" s="1"/>
  <c r="M31" i="6"/>
  <c r="K31" i="6"/>
  <c r="L31" i="6" s="1"/>
  <c r="M30" i="5"/>
  <c r="K30" i="5"/>
  <c r="L30" i="5" s="1"/>
  <c r="M30" i="4"/>
  <c r="K30" i="4"/>
  <c r="L30" i="4" s="1"/>
  <c r="M30" i="3"/>
  <c r="K30" i="3"/>
  <c r="L30" i="3" s="1"/>
  <c r="M28" i="22"/>
  <c r="K28" i="22"/>
  <c r="L28" i="22" s="1"/>
  <c r="M28" i="25" l="1"/>
  <c r="K28" i="25"/>
  <c r="L28" i="25" s="1"/>
  <c r="M26" i="24"/>
  <c r="K26" i="24"/>
  <c r="L26" i="24" s="1"/>
  <c r="M27" i="23"/>
  <c r="K27" i="23"/>
  <c r="L27" i="23" s="1"/>
  <c r="O154" i="25" l="1"/>
  <c r="O153" i="25"/>
  <c r="O152" i="25"/>
  <c r="O151" i="25"/>
  <c r="O150" i="25"/>
  <c r="O149" i="25"/>
  <c r="O148" i="25"/>
  <c r="O147" i="25"/>
  <c r="O146" i="25"/>
  <c r="O145" i="25"/>
  <c r="O144" i="25"/>
  <c r="O143" i="25"/>
  <c r="O142" i="25"/>
  <c r="O141" i="25"/>
  <c r="O140" i="25"/>
  <c r="O139" i="25"/>
  <c r="O138" i="25"/>
  <c r="O137" i="25"/>
  <c r="O136" i="25"/>
  <c r="O135" i="25"/>
  <c r="O134" i="25"/>
  <c r="O133" i="25"/>
  <c r="O132" i="25"/>
  <c r="O131" i="25"/>
  <c r="O130" i="25"/>
  <c r="O129" i="25"/>
  <c r="O128" i="25"/>
  <c r="O127" i="25"/>
  <c r="O126" i="25"/>
  <c r="O125" i="25"/>
  <c r="O124" i="25"/>
  <c r="O123" i="25"/>
  <c r="O122" i="25"/>
  <c r="O121" i="25"/>
  <c r="O120" i="25"/>
  <c r="O119" i="25"/>
  <c r="O118" i="25"/>
  <c r="O117" i="25"/>
  <c r="O116" i="25"/>
  <c r="O115" i="25"/>
  <c r="O114" i="25"/>
  <c r="O113" i="25"/>
  <c r="O112" i="25"/>
  <c r="O111" i="25"/>
  <c r="N109" i="25"/>
  <c r="O109" i="25" s="1"/>
  <c r="L109" i="25"/>
  <c r="M109" i="25" s="1"/>
  <c r="N108" i="25"/>
  <c r="O108" i="25" s="1"/>
  <c r="L108" i="25"/>
  <c r="M108" i="25" s="1"/>
  <c r="N107" i="24"/>
  <c r="L107" i="24"/>
  <c r="M107" i="24" s="1"/>
  <c r="N106" i="24"/>
  <c r="L106" i="24"/>
  <c r="M106" i="24" s="1"/>
  <c r="N108" i="23"/>
  <c r="L108" i="23"/>
  <c r="M108" i="23" s="1"/>
  <c r="N107" i="23"/>
  <c r="L107" i="23"/>
  <c r="M107" i="23" s="1"/>
  <c r="N109" i="22"/>
  <c r="L109" i="22"/>
  <c r="M109" i="22" s="1"/>
  <c r="N108" i="22"/>
  <c r="L108" i="22"/>
  <c r="M108" i="22" s="1"/>
  <c r="W44" i="17" l="1"/>
  <c r="P48" i="17"/>
  <c r="L48" i="17"/>
  <c r="P47" i="17"/>
  <c r="L47" i="17"/>
  <c r="P46" i="17"/>
  <c r="L46" i="17"/>
  <c r="D94" i="49"/>
  <c r="D93" i="49"/>
  <c r="D94" i="48"/>
  <c r="D93" i="48"/>
  <c r="C99" i="48" s="1"/>
  <c r="C100" i="48" s="1"/>
  <c r="C101" i="48" s="1"/>
  <c r="C102" i="48" s="1"/>
  <c r="C103" i="48" s="1"/>
  <c r="C104" i="48" s="1"/>
  <c r="C105" i="48" s="1"/>
  <c r="C106" i="48" s="1"/>
  <c r="C107" i="48" s="1"/>
  <c r="C108" i="48" s="1"/>
  <c r="C109" i="48" s="1"/>
  <c r="C110" i="48" s="1"/>
  <c r="C111" i="48" s="1"/>
  <c r="C112" i="48" s="1"/>
  <c r="C113" i="48" s="1"/>
  <c r="C114" i="48" s="1"/>
  <c r="C115" i="48" s="1"/>
  <c r="C116" i="48" s="1"/>
  <c r="C117" i="48" s="1"/>
  <c r="C118" i="48" s="1"/>
  <c r="C119" i="48" s="1"/>
  <c r="C120" i="48" s="1"/>
  <c r="C121" i="48" s="1"/>
  <c r="C122" i="48" s="1"/>
  <c r="C123" i="48" s="1"/>
  <c r="C124" i="48" s="1"/>
  <c r="C125" i="48" s="1"/>
  <c r="C126" i="48" s="1"/>
  <c r="C127" i="48" s="1"/>
  <c r="C128" i="48" s="1"/>
  <c r="C129" i="48" s="1"/>
  <c r="C130" i="48" s="1"/>
  <c r="C131" i="48" s="1"/>
  <c r="C132" i="48" s="1"/>
  <c r="C133" i="48" s="1"/>
  <c r="C134" i="48" s="1"/>
  <c r="C135" i="48" s="1"/>
  <c r="C136" i="48" s="1"/>
  <c r="C137" i="48" s="1"/>
  <c r="C138" i="48" s="1"/>
  <c r="C139" i="48" s="1"/>
  <c r="C140" i="48" s="1"/>
  <c r="C141" i="48" s="1"/>
  <c r="C142" i="48" s="1"/>
  <c r="C143" i="48" s="1"/>
  <c r="C144" i="48" s="1"/>
  <c r="C145" i="48" s="1"/>
  <c r="C146" i="48" s="1"/>
  <c r="C147" i="48" s="1"/>
  <c r="C148" i="48" s="1"/>
  <c r="C149" i="48" s="1"/>
  <c r="C150" i="48" s="1"/>
  <c r="C151" i="48" s="1"/>
  <c r="C152" i="48" s="1"/>
  <c r="C153" i="48" s="1"/>
  <c r="C154" i="48" s="1"/>
  <c r="D91" i="48"/>
  <c r="D91" i="46"/>
  <c r="D89" i="46"/>
  <c r="D89" i="49"/>
  <c r="D89" i="48"/>
  <c r="J154" i="48"/>
  <c r="J153" i="48"/>
  <c r="J152" i="48"/>
  <c r="J151" i="48"/>
  <c r="J150" i="48"/>
  <c r="J149" i="48"/>
  <c r="J148" i="48"/>
  <c r="J147" i="48"/>
  <c r="J146" i="48"/>
  <c r="J145" i="48"/>
  <c r="J144" i="48"/>
  <c r="J143" i="48"/>
  <c r="J142" i="48"/>
  <c r="J141" i="48"/>
  <c r="J140" i="48"/>
  <c r="J139" i="48"/>
  <c r="J138" i="48"/>
  <c r="J137" i="48"/>
  <c r="J136" i="48"/>
  <c r="J135" i="48"/>
  <c r="J134" i="48"/>
  <c r="J133" i="48"/>
  <c r="J132" i="48"/>
  <c r="J131" i="48"/>
  <c r="J154" i="49"/>
  <c r="J153" i="49"/>
  <c r="J152" i="49"/>
  <c r="J151" i="49"/>
  <c r="J150" i="49"/>
  <c r="J149" i="49"/>
  <c r="J148" i="49"/>
  <c r="J147" i="49"/>
  <c r="J146" i="49"/>
  <c r="J145" i="49"/>
  <c r="J144" i="49"/>
  <c r="J143" i="49"/>
  <c r="J142" i="49"/>
  <c r="J141" i="49"/>
  <c r="J140" i="49"/>
  <c r="J139" i="49"/>
  <c r="J138" i="49"/>
  <c r="J137" i="49"/>
  <c r="J136" i="49"/>
  <c r="J135" i="49"/>
  <c r="J134" i="49"/>
  <c r="J133" i="49"/>
  <c r="J132" i="49"/>
  <c r="J131" i="49"/>
  <c r="P154" i="49"/>
  <c r="O154" i="49"/>
  <c r="M154" i="49"/>
  <c r="P153" i="49"/>
  <c r="O153" i="49"/>
  <c r="M153" i="49"/>
  <c r="P152" i="49"/>
  <c r="O152" i="49"/>
  <c r="M152" i="49"/>
  <c r="P151" i="49"/>
  <c r="O151" i="49"/>
  <c r="M151" i="49"/>
  <c r="P150" i="49"/>
  <c r="O150" i="49"/>
  <c r="M150" i="49"/>
  <c r="P149" i="49"/>
  <c r="O149" i="49"/>
  <c r="M149" i="49"/>
  <c r="P148" i="49"/>
  <c r="O148" i="49"/>
  <c r="M148" i="49"/>
  <c r="P147" i="49"/>
  <c r="O147" i="49"/>
  <c r="M147" i="49"/>
  <c r="P146" i="49"/>
  <c r="O146" i="49"/>
  <c r="M146" i="49"/>
  <c r="P145" i="49"/>
  <c r="O145" i="49"/>
  <c r="M145" i="49"/>
  <c r="P144" i="49"/>
  <c r="O144" i="49"/>
  <c r="M144" i="49"/>
  <c r="P143" i="49"/>
  <c r="O143" i="49"/>
  <c r="M143" i="49"/>
  <c r="P142" i="49"/>
  <c r="O142" i="49"/>
  <c r="M142" i="49"/>
  <c r="P141" i="49"/>
  <c r="O141" i="49"/>
  <c r="M141" i="49"/>
  <c r="P140" i="49"/>
  <c r="O140" i="49"/>
  <c r="M140" i="49"/>
  <c r="P139" i="49"/>
  <c r="O139" i="49"/>
  <c r="M139" i="49"/>
  <c r="P138" i="49"/>
  <c r="O138" i="49"/>
  <c r="M138" i="49"/>
  <c r="P137" i="49"/>
  <c r="O137" i="49"/>
  <c r="M137" i="49"/>
  <c r="P136" i="49"/>
  <c r="O136" i="49"/>
  <c r="M136" i="49"/>
  <c r="P135" i="49"/>
  <c r="O135" i="49"/>
  <c r="M135" i="49"/>
  <c r="P134" i="49"/>
  <c r="O134" i="49"/>
  <c r="M134" i="49"/>
  <c r="P133" i="49"/>
  <c r="O133" i="49"/>
  <c r="M133" i="49"/>
  <c r="P132" i="49"/>
  <c r="O132" i="49"/>
  <c r="M132" i="49"/>
  <c r="P131" i="49"/>
  <c r="O131" i="49"/>
  <c r="M131" i="49"/>
  <c r="O130" i="49"/>
  <c r="M130" i="49"/>
  <c r="O129" i="49"/>
  <c r="M129" i="49"/>
  <c r="O128" i="49"/>
  <c r="M128" i="49"/>
  <c r="O127" i="49"/>
  <c r="M127" i="49"/>
  <c r="O126" i="49"/>
  <c r="M126" i="49"/>
  <c r="O125" i="49"/>
  <c r="M125" i="49"/>
  <c r="O124" i="49"/>
  <c r="M124" i="49"/>
  <c r="O123" i="49"/>
  <c r="M123" i="49"/>
  <c r="O122" i="49"/>
  <c r="M122" i="49"/>
  <c r="O121" i="49"/>
  <c r="M121" i="49"/>
  <c r="O120" i="49"/>
  <c r="M120" i="49"/>
  <c r="O119" i="49"/>
  <c r="M119" i="49"/>
  <c r="O118" i="49"/>
  <c r="M118" i="49"/>
  <c r="O117" i="49"/>
  <c r="M117" i="49"/>
  <c r="O116" i="49"/>
  <c r="M116" i="49"/>
  <c r="O115" i="49"/>
  <c r="M115" i="49"/>
  <c r="O114" i="49"/>
  <c r="M114" i="49"/>
  <c r="O113" i="49"/>
  <c r="M113" i="49"/>
  <c r="O112" i="49"/>
  <c r="M112" i="49"/>
  <c r="O111" i="49"/>
  <c r="M111" i="49"/>
  <c r="O110" i="49"/>
  <c r="M110" i="49"/>
  <c r="O109" i="49"/>
  <c r="M109" i="49"/>
  <c r="O108" i="49"/>
  <c r="M108" i="49"/>
  <c r="O107" i="49"/>
  <c r="M107" i="49"/>
  <c r="O106" i="49"/>
  <c r="M106" i="49"/>
  <c r="O105" i="49"/>
  <c r="M105" i="49"/>
  <c r="O104" i="49"/>
  <c r="M104" i="49"/>
  <c r="O103" i="49"/>
  <c r="M103" i="49"/>
  <c r="O102" i="49"/>
  <c r="M102" i="49"/>
  <c r="O101" i="49"/>
  <c r="M101" i="49"/>
  <c r="O100" i="49"/>
  <c r="M100" i="49"/>
  <c r="C99" i="49"/>
  <c r="C100" i="49" s="1"/>
  <c r="C101" i="49" s="1"/>
  <c r="C102" i="49" s="1"/>
  <c r="C103" i="49" s="1"/>
  <c r="C104" i="49" s="1"/>
  <c r="C105" i="49" s="1"/>
  <c r="C106" i="49" s="1"/>
  <c r="C107" i="49" s="1"/>
  <c r="C108" i="49" s="1"/>
  <c r="C109" i="49" s="1"/>
  <c r="C110" i="49" s="1"/>
  <c r="C111" i="49" s="1"/>
  <c r="C112" i="49" s="1"/>
  <c r="C113" i="49" s="1"/>
  <c r="C114" i="49" s="1"/>
  <c r="C115" i="49" s="1"/>
  <c r="C116" i="49" s="1"/>
  <c r="C117" i="49" s="1"/>
  <c r="C118" i="49" s="1"/>
  <c r="C119" i="49" s="1"/>
  <c r="C120" i="49" s="1"/>
  <c r="C121" i="49" s="1"/>
  <c r="C122" i="49" s="1"/>
  <c r="C123" i="49" s="1"/>
  <c r="C124" i="49" s="1"/>
  <c r="C125" i="49" s="1"/>
  <c r="C126" i="49" s="1"/>
  <c r="C127" i="49" s="1"/>
  <c r="C128" i="49" s="1"/>
  <c r="C129" i="49" s="1"/>
  <c r="C130" i="49" s="1"/>
  <c r="C131" i="49" s="1"/>
  <c r="C132" i="49" s="1"/>
  <c r="C133" i="49" s="1"/>
  <c r="C134" i="49" s="1"/>
  <c r="C135" i="49" s="1"/>
  <c r="C136" i="49" s="1"/>
  <c r="C137" i="49" s="1"/>
  <c r="C138" i="49" s="1"/>
  <c r="C139" i="49" s="1"/>
  <c r="C140" i="49" s="1"/>
  <c r="C141" i="49" s="1"/>
  <c r="C142" i="49" s="1"/>
  <c r="C143" i="49" s="1"/>
  <c r="C144" i="49" s="1"/>
  <c r="C145" i="49" s="1"/>
  <c r="C146" i="49" s="1"/>
  <c r="C147" i="49" s="1"/>
  <c r="C148" i="49" s="1"/>
  <c r="C149" i="49" s="1"/>
  <c r="C150" i="49" s="1"/>
  <c r="C151" i="49" s="1"/>
  <c r="C152" i="49" s="1"/>
  <c r="C153" i="49" s="1"/>
  <c r="C154" i="49" s="1"/>
  <c r="D96" i="49"/>
  <c r="L93" i="49"/>
  <c r="J93" i="49"/>
  <c r="N72" i="49"/>
  <c r="L72" i="49"/>
  <c r="N71" i="49"/>
  <c r="L71" i="49"/>
  <c r="N70" i="49"/>
  <c r="L70" i="49"/>
  <c r="N69" i="49"/>
  <c r="L69" i="49"/>
  <c r="N68" i="49"/>
  <c r="L68" i="49"/>
  <c r="N67" i="49"/>
  <c r="L67" i="49"/>
  <c r="N66" i="49"/>
  <c r="L66" i="49"/>
  <c r="N65" i="49"/>
  <c r="L65" i="49"/>
  <c r="N64" i="49"/>
  <c r="L64" i="49"/>
  <c r="N63" i="49"/>
  <c r="L63" i="49"/>
  <c r="N62" i="49"/>
  <c r="L62" i="49"/>
  <c r="N61" i="49"/>
  <c r="L61" i="49"/>
  <c r="N60" i="49"/>
  <c r="L60" i="49"/>
  <c r="N59" i="49"/>
  <c r="L59" i="49"/>
  <c r="N58" i="49"/>
  <c r="L58" i="49"/>
  <c r="N57" i="49"/>
  <c r="L57" i="49"/>
  <c r="N56" i="49"/>
  <c r="L56" i="49"/>
  <c r="N55" i="49"/>
  <c r="L55" i="49"/>
  <c r="N54" i="49"/>
  <c r="L54" i="49"/>
  <c r="N53" i="49"/>
  <c r="L53" i="49"/>
  <c r="N52" i="49"/>
  <c r="L52" i="49"/>
  <c r="N51" i="49"/>
  <c r="L51" i="49"/>
  <c r="N50" i="49"/>
  <c r="L50" i="49"/>
  <c r="N49" i="49"/>
  <c r="L49" i="49"/>
  <c r="N48" i="49"/>
  <c r="L48" i="49"/>
  <c r="N47" i="49"/>
  <c r="L47" i="49"/>
  <c r="N46" i="49"/>
  <c r="L46" i="49"/>
  <c r="N45" i="49"/>
  <c r="L45" i="49"/>
  <c r="N44" i="49"/>
  <c r="L44" i="49"/>
  <c r="N43" i="49"/>
  <c r="L43" i="49"/>
  <c r="N42" i="49"/>
  <c r="L42" i="49"/>
  <c r="N41" i="49"/>
  <c r="L41" i="49"/>
  <c r="N40" i="49"/>
  <c r="L40" i="49"/>
  <c r="N39" i="49"/>
  <c r="L39" i="49"/>
  <c r="N38" i="49"/>
  <c r="L38" i="49"/>
  <c r="N37" i="49"/>
  <c r="L37" i="49"/>
  <c r="N36" i="49"/>
  <c r="L36" i="49"/>
  <c r="N35" i="49"/>
  <c r="L35" i="49"/>
  <c r="N34" i="49"/>
  <c r="L34" i="49"/>
  <c r="N33" i="49"/>
  <c r="L33" i="49"/>
  <c r="N32" i="49"/>
  <c r="L32" i="49"/>
  <c r="N31" i="49"/>
  <c r="L31" i="49"/>
  <c r="N30" i="49"/>
  <c r="L30" i="49"/>
  <c r="N29" i="49"/>
  <c r="L29" i="49"/>
  <c r="N28" i="49"/>
  <c r="L28" i="49"/>
  <c r="N27" i="49"/>
  <c r="L27" i="49"/>
  <c r="N26" i="49"/>
  <c r="L26" i="49"/>
  <c r="N25" i="49"/>
  <c r="L25" i="49"/>
  <c r="N24" i="49"/>
  <c r="L24" i="49"/>
  <c r="N23" i="49"/>
  <c r="L23" i="49"/>
  <c r="N22" i="49"/>
  <c r="L22" i="49"/>
  <c r="N21" i="49"/>
  <c r="L21" i="49"/>
  <c r="N20" i="49"/>
  <c r="L20" i="49"/>
  <c r="N19" i="49"/>
  <c r="L19" i="49"/>
  <c r="C17" i="49"/>
  <c r="C18" i="49" s="1"/>
  <c r="C19" i="49" s="1"/>
  <c r="C20" i="49" s="1"/>
  <c r="C21" i="49" s="1"/>
  <c r="C22" i="49" s="1"/>
  <c r="C23" i="49" s="1"/>
  <c r="C24" i="49" s="1"/>
  <c r="C25" i="49" s="1"/>
  <c r="C26" i="49" s="1"/>
  <c r="C27" i="49" s="1"/>
  <c r="C28" i="49" s="1"/>
  <c r="C29" i="49" s="1"/>
  <c r="C30" i="49" s="1"/>
  <c r="C31" i="49" s="1"/>
  <c r="C32" i="49" s="1"/>
  <c r="C33" i="49" s="1"/>
  <c r="C34" i="49" s="1"/>
  <c r="C35" i="49" s="1"/>
  <c r="C36" i="49" s="1"/>
  <c r="C37" i="49" s="1"/>
  <c r="C38" i="49" s="1"/>
  <c r="C39" i="49" s="1"/>
  <c r="C40" i="49" s="1"/>
  <c r="C41" i="49" s="1"/>
  <c r="C42" i="49" s="1"/>
  <c r="C43" i="49" s="1"/>
  <c r="C44" i="49" s="1"/>
  <c r="K11" i="49"/>
  <c r="I11" i="49"/>
  <c r="P1" i="49"/>
  <c r="P83" i="49" s="1"/>
  <c r="P154" i="48"/>
  <c r="O154" i="48"/>
  <c r="M154" i="48"/>
  <c r="P153" i="48"/>
  <c r="O153" i="48"/>
  <c r="M153" i="48"/>
  <c r="P152" i="48"/>
  <c r="O152" i="48"/>
  <c r="M152" i="48"/>
  <c r="P151" i="48"/>
  <c r="O151" i="48"/>
  <c r="M151" i="48"/>
  <c r="P150" i="48"/>
  <c r="O150" i="48"/>
  <c r="M150" i="48"/>
  <c r="P149" i="48"/>
  <c r="O149" i="48"/>
  <c r="M149" i="48"/>
  <c r="P148" i="48"/>
  <c r="O148" i="48"/>
  <c r="M148" i="48"/>
  <c r="P147" i="48"/>
  <c r="O147" i="48"/>
  <c r="M147" i="48"/>
  <c r="P146" i="48"/>
  <c r="O146" i="48"/>
  <c r="M146" i="48"/>
  <c r="P145" i="48"/>
  <c r="O145" i="48"/>
  <c r="M145" i="48"/>
  <c r="P144" i="48"/>
  <c r="O144" i="48"/>
  <c r="M144" i="48"/>
  <c r="P143" i="48"/>
  <c r="O143" i="48"/>
  <c r="M143" i="48"/>
  <c r="P142" i="48"/>
  <c r="O142" i="48"/>
  <c r="M142" i="48"/>
  <c r="P141" i="48"/>
  <c r="O141" i="48"/>
  <c r="M141" i="48"/>
  <c r="P140" i="48"/>
  <c r="O140" i="48"/>
  <c r="M140" i="48"/>
  <c r="P139" i="48"/>
  <c r="O139" i="48"/>
  <c r="M139" i="48"/>
  <c r="P138" i="48"/>
  <c r="O138" i="48"/>
  <c r="M138" i="48"/>
  <c r="P137" i="48"/>
  <c r="O137" i="48"/>
  <c r="M137" i="48"/>
  <c r="P136" i="48"/>
  <c r="O136" i="48"/>
  <c r="M136" i="48"/>
  <c r="P135" i="48"/>
  <c r="O135" i="48"/>
  <c r="M135" i="48"/>
  <c r="P134" i="48"/>
  <c r="O134" i="48"/>
  <c r="M134" i="48"/>
  <c r="P133" i="48"/>
  <c r="O133" i="48"/>
  <c r="M133" i="48"/>
  <c r="P132" i="48"/>
  <c r="O132" i="48"/>
  <c r="M132" i="48"/>
  <c r="P131" i="48"/>
  <c r="O131" i="48"/>
  <c r="M131" i="48"/>
  <c r="O130" i="48"/>
  <c r="M130" i="48"/>
  <c r="O129" i="48"/>
  <c r="M129" i="48"/>
  <c r="O128" i="48"/>
  <c r="M128" i="48"/>
  <c r="O127" i="48"/>
  <c r="M127" i="48"/>
  <c r="O126" i="48"/>
  <c r="M126" i="48"/>
  <c r="O125" i="48"/>
  <c r="M125" i="48"/>
  <c r="O124" i="48"/>
  <c r="M124" i="48"/>
  <c r="O123" i="48"/>
  <c r="M123" i="48"/>
  <c r="O122" i="48"/>
  <c r="M122" i="48"/>
  <c r="O121" i="48"/>
  <c r="M121" i="48"/>
  <c r="O120" i="48"/>
  <c r="M120" i="48"/>
  <c r="O119" i="48"/>
  <c r="M119" i="48"/>
  <c r="O118" i="48"/>
  <c r="M118" i="48"/>
  <c r="O117" i="48"/>
  <c r="M117" i="48"/>
  <c r="O116" i="48"/>
  <c r="M116" i="48"/>
  <c r="O115" i="48"/>
  <c r="M115" i="48"/>
  <c r="O114" i="48"/>
  <c r="M114" i="48"/>
  <c r="O113" i="48"/>
  <c r="M113" i="48"/>
  <c r="O112" i="48"/>
  <c r="M112" i="48"/>
  <c r="O111" i="48"/>
  <c r="M111" i="48"/>
  <c r="O110" i="48"/>
  <c r="M110" i="48"/>
  <c r="O109" i="48"/>
  <c r="M109" i="48"/>
  <c r="O108" i="48"/>
  <c r="M108" i="48"/>
  <c r="O107" i="48"/>
  <c r="M107" i="48"/>
  <c r="O106" i="48"/>
  <c r="M106" i="48"/>
  <c r="O105" i="48"/>
  <c r="M105" i="48"/>
  <c r="O104" i="48"/>
  <c r="M104" i="48"/>
  <c r="O103" i="48"/>
  <c r="M103" i="48"/>
  <c r="O102" i="48"/>
  <c r="M102" i="48"/>
  <c r="O101" i="48"/>
  <c r="M101" i="48"/>
  <c r="D96" i="48"/>
  <c r="L93" i="48"/>
  <c r="J93" i="48"/>
  <c r="N72" i="48"/>
  <c r="L72" i="48"/>
  <c r="N71" i="48"/>
  <c r="L71" i="48"/>
  <c r="N70" i="48"/>
  <c r="L70" i="48"/>
  <c r="N69" i="48"/>
  <c r="L69" i="48"/>
  <c r="N68" i="48"/>
  <c r="L68" i="48"/>
  <c r="N67" i="48"/>
  <c r="L67" i="48"/>
  <c r="N66" i="48"/>
  <c r="L66" i="48"/>
  <c r="N65" i="48"/>
  <c r="L65" i="48"/>
  <c r="N64" i="48"/>
  <c r="L64" i="48"/>
  <c r="N63" i="48"/>
  <c r="L63" i="48"/>
  <c r="N62" i="48"/>
  <c r="L62" i="48"/>
  <c r="N61" i="48"/>
  <c r="L61" i="48"/>
  <c r="N60" i="48"/>
  <c r="L60" i="48"/>
  <c r="N59" i="48"/>
  <c r="L59" i="48"/>
  <c r="N58" i="48"/>
  <c r="L58" i="48"/>
  <c r="N57" i="48"/>
  <c r="L57" i="48"/>
  <c r="N56" i="48"/>
  <c r="L56" i="48"/>
  <c r="N55" i="48"/>
  <c r="L55" i="48"/>
  <c r="N54" i="48"/>
  <c r="L54" i="48"/>
  <c r="N53" i="48"/>
  <c r="L53" i="48"/>
  <c r="N52" i="48"/>
  <c r="L52" i="48"/>
  <c r="N51" i="48"/>
  <c r="L51" i="48"/>
  <c r="N50" i="48"/>
  <c r="L50" i="48"/>
  <c r="N49" i="48"/>
  <c r="L49" i="48"/>
  <c r="N48" i="48"/>
  <c r="L48" i="48"/>
  <c r="N47" i="48"/>
  <c r="L47" i="48"/>
  <c r="N46" i="48"/>
  <c r="L46" i="48"/>
  <c r="N45" i="48"/>
  <c r="L45" i="48"/>
  <c r="N44" i="48"/>
  <c r="L44" i="48"/>
  <c r="N43" i="48"/>
  <c r="L43" i="48"/>
  <c r="N42" i="48"/>
  <c r="L42" i="48"/>
  <c r="N41" i="48"/>
  <c r="L41" i="48"/>
  <c r="N40" i="48"/>
  <c r="L40" i="48"/>
  <c r="N39" i="48"/>
  <c r="L39" i="48"/>
  <c r="N38" i="48"/>
  <c r="L38" i="48"/>
  <c r="N37" i="48"/>
  <c r="L37" i="48"/>
  <c r="N36" i="48"/>
  <c r="L36" i="48"/>
  <c r="N35" i="48"/>
  <c r="L35" i="48"/>
  <c r="N34" i="48"/>
  <c r="L34" i="48"/>
  <c r="N33" i="48"/>
  <c r="L33" i="48"/>
  <c r="N32" i="48"/>
  <c r="L32" i="48"/>
  <c r="N31" i="48"/>
  <c r="L31" i="48"/>
  <c r="N30" i="48"/>
  <c r="L30" i="48"/>
  <c r="N29" i="48"/>
  <c r="L29" i="48"/>
  <c r="N28" i="48"/>
  <c r="L28" i="48"/>
  <c r="N27" i="48"/>
  <c r="L27" i="48"/>
  <c r="N26" i="48"/>
  <c r="L26" i="48"/>
  <c r="N25" i="48"/>
  <c r="L25" i="48"/>
  <c r="N24" i="48"/>
  <c r="L24" i="48"/>
  <c r="N23" i="48"/>
  <c r="L23" i="48"/>
  <c r="N22" i="48"/>
  <c r="L22" i="48"/>
  <c r="N21" i="48"/>
  <c r="L21" i="48"/>
  <c r="N20" i="48"/>
  <c r="L20" i="48"/>
  <c r="C17" i="48"/>
  <c r="C18" i="48" s="1"/>
  <c r="C19" i="48" s="1"/>
  <c r="C20" i="48" s="1"/>
  <c r="C21" i="48" s="1"/>
  <c r="C22" i="48" s="1"/>
  <c r="C23" i="48" s="1"/>
  <c r="C24" i="48" s="1"/>
  <c r="C25" i="48" s="1"/>
  <c r="C26" i="48" s="1"/>
  <c r="C27" i="48" s="1"/>
  <c r="C28" i="48" s="1"/>
  <c r="C29" i="48" s="1"/>
  <c r="C30" i="48" s="1"/>
  <c r="C31" i="48" s="1"/>
  <c r="C32" i="48" s="1"/>
  <c r="C33" i="48" s="1"/>
  <c r="C34" i="48" s="1"/>
  <c r="C35" i="48" s="1"/>
  <c r="C36" i="48" s="1"/>
  <c r="C37" i="48" s="1"/>
  <c r="C38" i="48" s="1"/>
  <c r="C39" i="48" s="1"/>
  <c r="C40" i="48" s="1"/>
  <c r="C41" i="48" s="1"/>
  <c r="C42" i="48" s="1"/>
  <c r="C43" i="48" s="1"/>
  <c r="C44" i="48" s="1"/>
  <c r="K11" i="48"/>
  <c r="I11" i="48"/>
  <c r="P1" i="48"/>
  <c r="P83" i="48" s="1"/>
  <c r="P154" i="47"/>
  <c r="O154" i="47"/>
  <c r="M154" i="47"/>
  <c r="J154" i="47"/>
  <c r="P153" i="47"/>
  <c r="O153" i="47"/>
  <c r="M153" i="47"/>
  <c r="J153" i="47"/>
  <c r="P152" i="47"/>
  <c r="O152" i="47"/>
  <c r="M152" i="47"/>
  <c r="J152" i="47"/>
  <c r="P151" i="47"/>
  <c r="O151" i="47"/>
  <c r="M151" i="47"/>
  <c r="J151" i="47"/>
  <c r="P150" i="47"/>
  <c r="O150" i="47"/>
  <c r="M150" i="47"/>
  <c r="J150" i="47"/>
  <c r="P149" i="47"/>
  <c r="O149" i="47"/>
  <c r="M149" i="47"/>
  <c r="J149" i="47"/>
  <c r="P148" i="47"/>
  <c r="O148" i="47"/>
  <c r="M148" i="47"/>
  <c r="J148" i="47"/>
  <c r="P147" i="47"/>
  <c r="O147" i="47"/>
  <c r="M147" i="47"/>
  <c r="J147" i="47"/>
  <c r="P146" i="47"/>
  <c r="O146" i="47"/>
  <c r="M146" i="47"/>
  <c r="J146" i="47"/>
  <c r="P145" i="47"/>
  <c r="O145" i="47"/>
  <c r="M145" i="47"/>
  <c r="J145" i="47"/>
  <c r="P144" i="47"/>
  <c r="O144" i="47"/>
  <c r="M144" i="47"/>
  <c r="J144" i="47"/>
  <c r="P143" i="47"/>
  <c r="O143" i="47"/>
  <c r="M143" i="47"/>
  <c r="J143" i="47"/>
  <c r="P142" i="47"/>
  <c r="O142" i="47"/>
  <c r="M142" i="47"/>
  <c r="J142" i="47"/>
  <c r="P141" i="47"/>
  <c r="O141" i="47"/>
  <c r="M141" i="47"/>
  <c r="J141" i="47"/>
  <c r="P140" i="47"/>
  <c r="O140" i="47"/>
  <c r="M140" i="47"/>
  <c r="J140" i="47"/>
  <c r="P139" i="47"/>
  <c r="O139" i="47"/>
  <c r="M139" i="47"/>
  <c r="J139" i="47"/>
  <c r="P138" i="47"/>
  <c r="O138" i="47"/>
  <c r="M138" i="47"/>
  <c r="J138" i="47"/>
  <c r="P137" i="47"/>
  <c r="O137" i="47"/>
  <c r="M137" i="47"/>
  <c r="J137" i="47"/>
  <c r="P136" i="47"/>
  <c r="O136" i="47"/>
  <c r="M136" i="47"/>
  <c r="J136" i="47"/>
  <c r="P135" i="47"/>
  <c r="O135" i="47"/>
  <c r="M135" i="47"/>
  <c r="J135" i="47"/>
  <c r="P134" i="47"/>
  <c r="O134" i="47"/>
  <c r="M134" i="47"/>
  <c r="J134" i="47"/>
  <c r="P133" i="47"/>
  <c r="O133" i="47"/>
  <c r="M133" i="47"/>
  <c r="J133" i="47"/>
  <c r="P132" i="47"/>
  <c r="O132" i="47"/>
  <c r="M132" i="47"/>
  <c r="J132" i="47"/>
  <c r="P131" i="47"/>
  <c r="O131" i="47"/>
  <c r="M131" i="47"/>
  <c r="J131" i="47"/>
  <c r="O130" i="47"/>
  <c r="M130" i="47"/>
  <c r="O129" i="47"/>
  <c r="M129" i="47"/>
  <c r="O128" i="47"/>
  <c r="M128" i="47"/>
  <c r="O127" i="47"/>
  <c r="M127" i="47"/>
  <c r="O126" i="47"/>
  <c r="M126" i="47"/>
  <c r="O125" i="47"/>
  <c r="M125" i="47"/>
  <c r="O124" i="47"/>
  <c r="M124" i="47"/>
  <c r="O123" i="47"/>
  <c r="M123" i="47"/>
  <c r="O122" i="47"/>
  <c r="M122" i="47"/>
  <c r="O121" i="47"/>
  <c r="M121" i="47"/>
  <c r="O120" i="47"/>
  <c r="M120" i="47"/>
  <c r="O119" i="47"/>
  <c r="M119" i="47"/>
  <c r="O118" i="47"/>
  <c r="M118" i="47"/>
  <c r="O117" i="47"/>
  <c r="M117" i="47"/>
  <c r="O116" i="47"/>
  <c r="M116" i="47"/>
  <c r="O115" i="47"/>
  <c r="M115" i="47"/>
  <c r="O114" i="47"/>
  <c r="M114" i="47"/>
  <c r="O113" i="47"/>
  <c r="M113" i="47"/>
  <c r="O112" i="47"/>
  <c r="M112" i="47"/>
  <c r="O111" i="47"/>
  <c r="M111" i="47"/>
  <c r="O110" i="47"/>
  <c r="M110" i="47"/>
  <c r="O109" i="47"/>
  <c r="M109" i="47"/>
  <c r="O108" i="47"/>
  <c r="M108" i="47"/>
  <c r="O107" i="47"/>
  <c r="M107" i="47"/>
  <c r="O106" i="47"/>
  <c r="M106" i="47"/>
  <c r="O105" i="47"/>
  <c r="M105" i="47"/>
  <c r="O104" i="47"/>
  <c r="M104" i="47"/>
  <c r="O103" i="47"/>
  <c r="M103" i="47"/>
  <c r="O102" i="47"/>
  <c r="M102" i="47"/>
  <c r="O101" i="47"/>
  <c r="M101" i="47"/>
  <c r="O99" i="47"/>
  <c r="M99" i="47"/>
  <c r="J99" i="47"/>
  <c r="C99" i="47"/>
  <c r="C100" i="47" s="1"/>
  <c r="C101" i="47" s="1"/>
  <c r="C102" i="47" s="1"/>
  <c r="C103" i="47" s="1"/>
  <c r="C104" i="47" s="1"/>
  <c r="C105" i="47" s="1"/>
  <c r="C106" i="47" s="1"/>
  <c r="C107" i="47" s="1"/>
  <c r="C108" i="47" s="1"/>
  <c r="C109" i="47" s="1"/>
  <c r="C110" i="47" s="1"/>
  <c r="C111" i="47" s="1"/>
  <c r="C112" i="47" s="1"/>
  <c r="C113" i="47" s="1"/>
  <c r="C114" i="47" s="1"/>
  <c r="C115" i="47" s="1"/>
  <c r="C116" i="47" s="1"/>
  <c r="C117" i="47" s="1"/>
  <c r="C118" i="47" s="1"/>
  <c r="C119" i="47" s="1"/>
  <c r="C120" i="47" s="1"/>
  <c r="C121" i="47" s="1"/>
  <c r="C122" i="47" s="1"/>
  <c r="C123" i="47" s="1"/>
  <c r="C124" i="47" s="1"/>
  <c r="C125" i="47" s="1"/>
  <c r="C126" i="47" s="1"/>
  <c r="C127" i="47" s="1"/>
  <c r="C128" i="47" s="1"/>
  <c r="C129" i="47" s="1"/>
  <c r="C130" i="47" s="1"/>
  <c r="C131" i="47" s="1"/>
  <c r="C132" i="47" s="1"/>
  <c r="C133" i="47" s="1"/>
  <c r="C134" i="47" s="1"/>
  <c r="C135" i="47" s="1"/>
  <c r="C136" i="47" s="1"/>
  <c r="C137" i="47" s="1"/>
  <c r="C138" i="47" s="1"/>
  <c r="C139" i="47" s="1"/>
  <c r="C140" i="47" s="1"/>
  <c r="C141" i="47" s="1"/>
  <c r="C142" i="47" s="1"/>
  <c r="C143" i="47" s="1"/>
  <c r="C144" i="47" s="1"/>
  <c r="C145" i="47" s="1"/>
  <c r="C146" i="47" s="1"/>
  <c r="C147" i="47" s="1"/>
  <c r="C148" i="47" s="1"/>
  <c r="C149" i="47" s="1"/>
  <c r="C150" i="47" s="1"/>
  <c r="C151" i="47" s="1"/>
  <c r="C152" i="47" s="1"/>
  <c r="C153" i="47" s="1"/>
  <c r="C154" i="47" s="1"/>
  <c r="D96" i="47"/>
  <c r="L93" i="47"/>
  <c r="J93" i="47"/>
  <c r="D90" i="47"/>
  <c r="N72" i="47"/>
  <c r="L72" i="47"/>
  <c r="N71" i="47"/>
  <c r="L71" i="47"/>
  <c r="N70" i="47"/>
  <c r="L70" i="47"/>
  <c r="N69" i="47"/>
  <c r="L69" i="47"/>
  <c r="N68" i="47"/>
  <c r="L68" i="47"/>
  <c r="N67" i="47"/>
  <c r="L67" i="47"/>
  <c r="N66" i="47"/>
  <c r="L66" i="47"/>
  <c r="N65" i="47"/>
  <c r="L65" i="47"/>
  <c r="N64" i="47"/>
  <c r="L64" i="47"/>
  <c r="N63" i="47"/>
  <c r="L63" i="47"/>
  <c r="N62" i="47"/>
  <c r="L62" i="47"/>
  <c r="N61" i="47"/>
  <c r="L61" i="47"/>
  <c r="N60" i="47"/>
  <c r="L60" i="47"/>
  <c r="N59" i="47"/>
  <c r="L59" i="47"/>
  <c r="N58" i="47"/>
  <c r="L58" i="47"/>
  <c r="N57" i="47"/>
  <c r="L57" i="47"/>
  <c r="N56" i="47"/>
  <c r="L56" i="47"/>
  <c r="N55" i="47"/>
  <c r="L55" i="47"/>
  <c r="N54" i="47"/>
  <c r="L54" i="47"/>
  <c r="N53" i="47"/>
  <c r="L53" i="47"/>
  <c r="N52" i="47"/>
  <c r="L52" i="47"/>
  <c r="N51" i="47"/>
  <c r="L51" i="47"/>
  <c r="N50" i="47"/>
  <c r="L50" i="47"/>
  <c r="N49" i="47"/>
  <c r="L49" i="47"/>
  <c r="N48" i="47"/>
  <c r="L48" i="47"/>
  <c r="N47" i="47"/>
  <c r="L47" i="47"/>
  <c r="N46" i="47"/>
  <c r="L46" i="47"/>
  <c r="N45" i="47"/>
  <c r="L45" i="47"/>
  <c r="N44" i="47"/>
  <c r="L44" i="47"/>
  <c r="N43" i="47"/>
  <c r="L43" i="47"/>
  <c r="N42" i="47"/>
  <c r="L42" i="47"/>
  <c r="N41" i="47"/>
  <c r="L41" i="47"/>
  <c r="N40" i="47"/>
  <c r="L40" i="47"/>
  <c r="N39" i="47"/>
  <c r="L39" i="47"/>
  <c r="N38" i="47"/>
  <c r="L38" i="47"/>
  <c r="N37" i="47"/>
  <c r="L37" i="47"/>
  <c r="N36" i="47"/>
  <c r="L36" i="47"/>
  <c r="N35" i="47"/>
  <c r="L35" i="47"/>
  <c r="N34" i="47"/>
  <c r="L34" i="47"/>
  <c r="N33" i="47"/>
  <c r="L33" i="47"/>
  <c r="N32" i="47"/>
  <c r="L32" i="47"/>
  <c r="N31" i="47"/>
  <c r="L31" i="47"/>
  <c r="N30" i="47"/>
  <c r="L30" i="47"/>
  <c r="N29" i="47"/>
  <c r="L29" i="47"/>
  <c r="N28" i="47"/>
  <c r="L28" i="47"/>
  <c r="N27" i="47"/>
  <c r="L27" i="47"/>
  <c r="N26" i="47"/>
  <c r="L26" i="47"/>
  <c r="N25" i="47"/>
  <c r="L25" i="47"/>
  <c r="N24" i="47"/>
  <c r="L24" i="47"/>
  <c r="N23" i="47"/>
  <c r="L23" i="47"/>
  <c r="N22" i="47"/>
  <c r="L22" i="47"/>
  <c r="N21" i="47"/>
  <c r="L21" i="47"/>
  <c r="N20" i="47"/>
  <c r="L20" i="47"/>
  <c r="N19" i="47"/>
  <c r="L19" i="47"/>
  <c r="C17" i="47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33" i="47" s="1"/>
  <c r="C34" i="47" s="1"/>
  <c r="C35" i="47" s="1"/>
  <c r="C36" i="47" s="1"/>
  <c r="C37" i="47" s="1"/>
  <c r="C38" i="47" s="1"/>
  <c r="C39" i="47" s="1"/>
  <c r="C40" i="47" s="1"/>
  <c r="C41" i="47" s="1"/>
  <c r="C42" i="47" s="1"/>
  <c r="C43" i="47" s="1"/>
  <c r="C44" i="47" s="1"/>
  <c r="C45" i="47" s="1"/>
  <c r="C46" i="47" s="1"/>
  <c r="C47" i="47" s="1"/>
  <c r="C48" i="47" s="1"/>
  <c r="C49" i="47" s="1"/>
  <c r="C50" i="47" s="1"/>
  <c r="C51" i="47" s="1"/>
  <c r="C52" i="47" s="1"/>
  <c r="C53" i="47" s="1"/>
  <c r="C54" i="47" s="1"/>
  <c r="C55" i="47" s="1"/>
  <c r="C56" i="47" s="1"/>
  <c r="C57" i="47" s="1"/>
  <c r="C58" i="47" s="1"/>
  <c r="C59" i="47" s="1"/>
  <c r="C60" i="47" s="1"/>
  <c r="C61" i="47" s="1"/>
  <c r="C62" i="47" s="1"/>
  <c r="C63" i="47" s="1"/>
  <c r="C64" i="47" s="1"/>
  <c r="C65" i="47" s="1"/>
  <c r="C66" i="47" s="1"/>
  <c r="C67" i="47" s="1"/>
  <c r="C68" i="47" s="1"/>
  <c r="C69" i="47" s="1"/>
  <c r="C70" i="47" s="1"/>
  <c r="C71" i="47" s="1"/>
  <c r="C72" i="47" s="1"/>
  <c r="K11" i="47"/>
  <c r="I11" i="47"/>
  <c r="P1" i="47"/>
  <c r="P83" i="47" s="1"/>
  <c r="P99" i="47" l="1"/>
  <c r="O34" i="49"/>
  <c r="O36" i="49"/>
  <c r="O38" i="49"/>
  <c r="O42" i="49"/>
  <c r="O44" i="49"/>
  <c r="O46" i="49"/>
  <c r="O52" i="49"/>
  <c r="O60" i="49"/>
  <c r="O62" i="49"/>
  <c r="O64" i="49"/>
  <c r="O68" i="49"/>
  <c r="O70" i="49"/>
  <c r="O72" i="49"/>
  <c r="P109" i="49"/>
  <c r="P113" i="49"/>
  <c r="O23" i="49"/>
  <c r="O25" i="49"/>
  <c r="O27" i="49"/>
  <c r="O31" i="49"/>
  <c r="O39" i="49"/>
  <c r="O49" i="49"/>
  <c r="O59" i="49"/>
  <c r="O67" i="49"/>
  <c r="P130" i="47"/>
  <c r="P113" i="47"/>
  <c r="O23" i="47"/>
  <c r="O31" i="47"/>
  <c r="O33" i="47"/>
  <c r="O43" i="47"/>
  <c r="O45" i="47"/>
  <c r="O49" i="47"/>
  <c r="P120" i="47"/>
  <c r="P122" i="47"/>
  <c r="O38" i="48"/>
  <c r="O68" i="48"/>
  <c r="O20" i="49"/>
  <c r="O24" i="49"/>
  <c r="O30" i="47"/>
  <c r="O38" i="47"/>
  <c r="O60" i="47"/>
  <c r="O47" i="49"/>
  <c r="P102" i="47"/>
  <c r="P104" i="47"/>
  <c r="P106" i="47"/>
  <c r="P108" i="47"/>
  <c r="P110" i="47"/>
  <c r="P112" i="47"/>
  <c r="P115" i="47"/>
  <c r="P117" i="47"/>
  <c r="P101" i="47"/>
  <c r="P103" i="47"/>
  <c r="P105" i="47"/>
  <c r="P109" i="47"/>
  <c r="P111" i="47"/>
  <c r="O51" i="47"/>
  <c r="O55" i="47"/>
  <c r="O67" i="47"/>
  <c r="O71" i="47"/>
  <c r="O72" i="47"/>
  <c r="P107" i="47"/>
  <c r="P114" i="47"/>
  <c r="P116" i="47"/>
  <c r="O22" i="47"/>
  <c r="P118" i="47"/>
  <c r="O34" i="47"/>
  <c r="P119" i="47"/>
  <c r="O41" i="47"/>
  <c r="O50" i="47"/>
  <c r="O52" i="47"/>
  <c r="O54" i="47"/>
  <c r="O56" i="47"/>
  <c r="O62" i="47"/>
  <c r="O64" i="47"/>
  <c r="P123" i="47"/>
  <c r="O24" i="47"/>
  <c r="O32" i="47"/>
  <c r="O42" i="47"/>
  <c r="P121" i="47"/>
  <c r="O25" i="47"/>
  <c r="O53" i="47"/>
  <c r="O57" i="47"/>
  <c r="O65" i="47"/>
  <c r="O26" i="47"/>
  <c r="O44" i="47"/>
  <c r="O19" i="47"/>
  <c r="O21" i="47"/>
  <c r="O28" i="47"/>
  <c r="O35" i="47"/>
  <c r="O37" i="47"/>
  <c r="O39" i="47"/>
  <c r="O46" i="47"/>
  <c r="O48" i="47"/>
  <c r="O58" i="47"/>
  <c r="O20" i="47"/>
  <c r="O27" i="47"/>
  <c r="O29" i="47"/>
  <c r="O36" i="47"/>
  <c r="O40" i="47"/>
  <c r="O47" i="47"/>
  <c r="O59" i="47"/>
  <c r="O61" i="47"/>
  <c r="O66" i="47"/>
  <c r="O68" i="47"/>
  <c r="O63" i="47"/>
  <c r="O70" i="47"/>
  <c r="O69" i="47"/>
  <c r="O42" i="48"/>
  <c r="O44" i="48"/>
  <c r="O48" i="48"/>
  <c r="O58" i="48"/>
  <c r="O60" i="48"/>
  <c r="O66" i="48"/>
  <c r="O25" i="48"/>
  <c r="O41" i="48"/>
  <c r="O20" i="48"/>
  <c r="O32" i="48"/>
  <c r="O36" i="48"/>
  <c r="O47" i="48"/>
  <c r="O49" i="48"/>
  <c r="O53" i="48"/>
  <c r="O61" i="48"/>
  <c r="O52" i="48"/>
  <c r="O63" i="48"/>
  <c r="O65" i="48"/>
  <c r="O29" i="48"/>
  <c r="O34" i="48"/>
  <c r="O37" i="48"/>
  <c r="O45" i="48"/>
  <c r="O24" i="48"/>
  <c r="O31" i="48"/>
  <c r="O33" i="48"/>
  <c r="O26" i="48"/>
  <c r="O28" i="48"/>
  <c r="O56" i="48"/>
  <c r="O72" i="48"/>
  <c r="O21" i="48"/>
  <c r="O39" i="48"/>
  <c r="O23" i="48"/>
  <c r="O40" i="48"/>
  <c r="O50" i="48"/>
  <c r="O55" i="48"/>
  <c r="O57" i="48"/>
  <c r="O69" i="48"/>
  <c r="O64" i="48"/>
  <c r="O71" i="48"/>
  <c r="P102" i="48"/>
  <c r="P106" i="48"/>
  <c r="P112" i="48"/>
  <c r="P116" i="48"/>
  <c r="P120" i="48"/>
  <c r="P130" i="48"/>
  <c r="P104" i="48"/>
  <c r="P108" i="48"/>
  <c r="P110" i="48"/>
  <c r="P114" i="48"/>
  <c r="P122" i="48"/>
  <c r="P126" i="48"/>
  <c r="P121" i="48"/>
  <c r="P129" i="48"/>
  <c r="P100" i="49"/>
  <c r="P118" i="49"/>
  <c r="P122" i="49"/>
  <c r="P124" i="49"/>
  <c r="P126" i="49"/>
  <c r="P128" i="49"/>
  <c r="P130" i="49"/>
  <c r="P115" i="49"/>
  <c r="P117" i="49"/>
  <c r="P104" i="49"/>
  <c r="P107" i="49"/>
  <c r="O33" i="49"/>
  <c r="O35" i="49"/>
  <c r="O50" i="49"/>
  <c r="O63" i="49"/>
  <c r="O22" i="49"/>
  <c r="O26" i="49"/>
  <c r="O28" i="49"/>
  <c r="O30" i="49"/>
  <c r="O41" i="49"/>
  <c r="O43" i="49"/>
  <c r="O56" i="49"/>
  <c r="O71" i="49"/>
  <c r="O66" i="49"/>
  <c r="P112" i="49"/>
  <c r="O29" i="49"/>
  <c r="O32" i="49"/>
  <c r="O37" i="49"/>
  <c r="O40" i="49"/>
  <c r="O45" i="49"/>
  <c r="O48" i="49"/>
  <c r="O53" i="49"/>
  <c r="O55" i="49"/>
  <c r="P105" i="49"/>
  <c r="P114" i="49"/>
  <c r="P116" i="49"/>
  <c r="O51" i="49"/>
  <c r="O58" i="49"/>
  <c r="O61" i="49"/>
  <c r="O69" i="49"/>
  <c r="P110" i="49"/>
  <c r="O19" i="49"/>
  <c r="O21" i="49"/>
  <c r="P108" i="49"/>
  <c r="P111" i="49"/>
  <c r="P101" i="49"/>
  <c r="P103" i="49"/>
  <c r="P121" i="49"/>
  <c r="P125" i="49"/>
  <c r="P127" i="49"/>
  <c r="P129" i="49"/>
  <c r="J96" i="49"/>
  <c r="C45" i="49"/>
  <c r="C46" i="49" s="1"/>
  <c r="C47" i="49" s="1"/>
  <c r="C48" i="49" s="1"/>
  <c r="C49" i="49" s="1"/>
  <c r="C50" i="49" s="1"/>
  <c r="C51" i="49" s="1"/>
  <c r="C52" i="49" s="1"/>
  <c r="C53" i="49" s="1"/>
  <c r="C54" i="49" s="1"/>
  <c r="C55" i="49" s="1"/>
  <c r="C56" i="49" s="1"/>
  <c r="C57" i="49" s="1"/>
  <c r="C58" i="49" s="1"/>
  <c r="C59" i="49" s="1"/>
  <c r="C60" i="49" s="1"/>
  <c r="C61" i="49" s="1"/>
  <c r="C62" i="49" s="1"/>
  <c r="C63" i="49" s="1"/>
  <c r="C64" i="49" s="1"/>
  <c r="C65" i="49" s="1"/>
  <c r="C66" i="49" s="1"/>
  <c r="C67" i="49" s="1"/>
  <c r="C68" i="49" s="1"/>
  <c r="C69" i="49" s="1"/>
  <c r="C70" i="49" s="1"/>
  <c r="C71" i="49" s="1"/>
  <c r="C72" i="49" s="1"/>
  <c r="P106" i="49"/>
  <c r="O54" i="49"/>
  <c r="O57" i="49"/>
  <c r="O65" i="49"/>
  <c r="P102" i="49"/>
  <c r="P119" i="49"/>
  <c r="P123" i="49"/>
  <c r="P120" i="49"/>
  <c r="C45" i="48"/>
  <c r="C46" i="48" s="1"/>
  <c r="C47" i="48" s="1"/>
  <c r="C48" i="48" s="1"/>
  <c r="C49" i="48" s="1"/>
  <c r="C50" i="48" s="1"/>
  <c r="C51" i="48" s="1"/>
  <c r="C52" i="48" s="1"/>
  <c r="C53" i="48" s="1"/>
  <c r="C54" i="48" s="1"/>
  <c r="C55" i="48" s="1"/>
  <c r="C56" i="48" s="1"/>
  <c r="C57" i="48" s="1"/>
  <c r="C58" i="48" s="1"/>
  <c r="C59" i="48" s="1"/>
  <c r="C60" i="48" s="1"/>
  <c r="C61" i="48" s="1"/>
  <c r="C62" i="48" s="1"/>
  <c r="C63" i="48" s="1"/>
  <c r="C64" i="48" s="1"/>
  <c r="C65" i="48" s="1"/>
  <c r="C66" i="48" s="1"/>
  <c r="C67" i="48" s="1"/>
  <c r="C68" i="48" s="1"/>
  <c r="C69" i="48" s="1"/>
  <c r="C70" i="48" s="1"/>
  <c r="C71" i="48" s="1"/>
  <c r="C72" i="48" s="1"/>
  <c r="O22" i="48"/>
  <c r="O27" i="48"/>
  <c r="O30" i="48"/>
  <c r="O35" i="48"/>
  <c r="O43" i="48"/>
  <c r="O46" i="48"/>
  <c r="O51" i="48"/>
  <c r="O54" i="48"/>
  <c r="O59" i="48"/>
  <c r="O62" i="48"/>
  <c r="O67" i="48"/>
  <c r="O70" i="48"/>
  <c r="P101" i="48"/>
  <c r="P103" i="48"/>
  <c r="P105" i="48"/>
  <c r="P107" i="48"/>
  <c r="P109" i="48"/>
  <c r="P111" i="48"/>
  <c r="P113" i="48"/>
  <c r="P115" i="48"/>
  <c r="P117" i="48"/>
  <c r="P125" i="48"/>
  <c r="P118" i="48"/>
  <c r="P124" i="48"/>
  <c r="P128" i="48"/>
  <c r="P119" i="48"/>
  <c r="P123" i="48"/>
  <c r="P127" i="48"/>
  <c r="P125" i="47"/>
  <c r="P127" i="47"/>
  <c r="P129" i="47"/>
  <c r="P124" i="47"/>
  <c r="P126" i="47"/>
  <c r="P128" i="47"/>
  <c r="N99" i="46"/>
  <c r="L99" i="46"/>
  <c r="M99" i="46" s="1"/>
  <c r="M18" i="46"/>
  <c r="K18" i="46"/>
  <c r="L18" i="46" s="1"/>
  <c r="N100" i="45"/>
  <c r="L100" i="45"/>
  <c r="M100" i="45" s="1"/>
  <c r="N99" i="45"/>
  <c r="L99" i="45"/>
  <c r="M99" i="45" s="1"/>
  <c r="M19" i="45"/>
  <c r="K19" i="45"/>
  <c r="L19" i="45" s="1"/>
  <c r="N100" i="44"/>
  <c r="L100" i="44"/>
  <c r="M100" i="44" s="1"/>
  <c r="N99" i="44"/>
  <c r="L99" i="44"/>
  <c r="M99" i="44" s="1"/>
  <c r="M19" i="44"/>
  <c r="K19" i="44"/>
  <c r="L19" i="44" s="1"/>
  <c r="N101" i="43"/>
  <c r="L101" i="43"/>
  <c r="M101" i="43" s="1"/>
  <c r="N100" i="43"/>
  <c r="L100" i="43"/>
  <c r="M100" i="43" s="1"/>
  <c r="M20" i="43"/>
  <c r="K20" i="43"/>
  <c r="L20" i="43" s="1"/>
  <c r="N101" i="42"/>
  <c r="L101" i="42"/>
  <c r="M101" i="42" s="1"/>
  <c r="N100" i="42"/>
  <c r="L100" i="42"/>
  <c r="M100" i="42" s="1"/>
  <c r="M20" i="42"/>
  <c r="K20" i="42"/>
  <c r="L20" i="42" s="1"/>
  <c r="N101" i="41"/>
  <c r="L101" i="41"/>
  <c r="M101" i="41" s="1"/>
  <c r="N100" i="41"/>
  <c r="L100" i="41"/>
  <c r="M100" i="41" s="1"/>
  <c r="M20" i="41"/>
  <c r="K20" i="41"/>
  <c r="L20" i="41" s="1"/>
  <c r="N101" i="40"/>
  <c r="L101" i="40"/>
  <c r="M101" i="40" s="1"/>
  <c r="N100" i="40"/>
  <c r="L100" i="40"/>
  <c r="M100" i="40" s="1"/>
  <c r="M20" i="40"/>
  <c r="K20" i="40"/>
  <c r="L20" i="40" s="1"/>
  <c r="N102" i="39"/>
  <c r="L102" i="39"/>
  <c r="M102" i="39" s="1"/>
  <c r="N101" i="39"/>
  <c r="L101" i="39"/>
  <c r="M101" i="39" s="1"/>
  <c r="M21" i="39"/>
  <c r="K21" i="39"/>
  <c r="L21" i="39" s="1"/>
  <c r="N101" i="38"/>
  <c r="L101" i="38"/>
  <c r="M101" i="38" s="1"/>
  <c r="M21" i="38"/>
  <c r="K21" i="38"/>
  <c r="L21" i="38" s="1"/>
  <c r="N102" i="37"/>
  <c r="L102" i="37"/>
  <c r="M102" i="37" s="1"/>
  <c r="N101" i="37"/>
  <c r="L101" i="37"/>
  <c r="M101" i="37" s="1"/>
  <c r="M21" i="37"/>
  <c r="K21" i="37"/>
  <c r="L21" i="37" s="1"/>
  <c r="N105" i="31"/>
  <c r="L105" i="31"/>
  <c r="M105" i="31" s="1"/>
  <c r="N104" i="31"/>
  <c r="L104" i="31"/>
  <c r="M104" i="31" s="1"/>
  <c r="M24" i="31"/>
  <c r="K24" i="31"/>
  <c r="L24" i="31" s="1"/>
  <c r="N104" i="30"/>
  <c r="L104" i="30"/>
  <c r="M104" i="30" s="1"/>
  <c r="N103" i="30"/>
  <c r="L103" i="30"/>
  <c r="M103" i="30" s="1"/>
  <c r="M23" i="30"/>
  <c r="K23" i="30"/>
  <c r="L23" i="30" s="1"/>
  <c r="N105" i="29"/>
  <c r="L105" i="29"/>
  <c r="M105" i="29" s="1"/>
  <c r="N104" i="29"/>
  <c r="L104" i="29"/>
  <c r="M104" i="29" s="1"/>
  <c r="M24" i="29"/>
  <c r="K24" i="29"/>
  <c r="L24" i="29" s="1"/>
  <c r="N105" i="28"/>
  <c r="L105" i="28"/>
  <c r="M105" i="28" s="1"/>
  <c r="N104" i="28"/>
  <c r="L104" i="28"/>
  <c r="M104" i="28" s="1"/>
  <c r="M24" i="28"/>
  <c r="K24" i="28"/>
  <c r="L24" i="28" s="1"/>
  <c r="N106" i="27"/>
  <c r="L106" i="27"/>
  <c r="M106" i="27" s="1"/>
  <c r="N105" i="27"/>
  <c r="L105" i="27"/>
  <c r="M105" i="27" s="1"/>
  <c r="M25" i="27"/>
  <c r="K25" i="27"/>
  <c r="L25" i="27" s="1"/>
  <c r="N112" i="11"/>
  <c r="L112" i="11"/>
  <c r="M112" i="11" s="1"/>
  <c r="N111" i="11"/>
  <c r="L111" i="11"/>
  <c r="M111" i="11" s="1"/>
  <c r="M31" i="11"/>
  <c r="K31" i="11"/>
  <c r="L31" i="11" s="1"/>
  <c r="B18" i="49" l="1"/>
  <c r="J96" i="48"/>
  <c r="N113" i="10" l="1"/>
  <c r="L113" i="10"/>
  <c r="M113" i="10" s="1"/>
  <c r="N112" i="10"/>
  <c r="L112" i="10"/>
  <c r="M112" i="10" s="1"/>
  <c r="M32" i="10"/>
  <c r="K32" i="10"/>
  <c r="L32" i="10" s="1"/>
  <c r="N112" i="9"/>
  <c r="L112" i="9"/>
  <c r="M112" i="9" s="1"/>
  <c r="N111" i="9"/>
  <c r="L111" i="9"/>
  <c r="M111" i="9" s="1"/>
  <c r="M31" i="9"/>
  <c r="K31" i="9"/>
  <c r="L31" i="9" s="1"/>
  <c r="N111" i="8"/>
  <c r="L111" i="8"/>
  <c r="M111" i="8" s="1"/>
  <c r="N110" i="8"/>
  <c r="L110" i="8"/>
  <c r="M110" i="8" s="1"/>
  <c r="M30" i="8"/>
  <c r="K30" i="8"/>
  <c r="L30" i="8" s="1"/>
  <c r="N113" i="7"/>
  <c r="L113" i="7"/>
  <c r="M113" i="7" s="1"/>
  <c r="N112" i="7"/>
  <c r="L112" i="7"/>
  <c r="M112" i="7" s="1"/>
  <c r="M32" i="7"/>
  <c r="K32" i="7"/>
  <c r="L32" i="7" s="1"/>
  <c r="N111" i="6"/>
  <c r="L111" i="6"/>
  <c r="M111" i="6" s="1"/>
  <c r="N110" i="6"/>
  <c r="L110" i="6"/>
  <c r="M110" i="6" s="1"/>
  <c r="M30" i="6"/>
  <c r="K30" i="6"/>
  <c r="L30" i="6" s="1"/>
  <c r="N110" i="5"/>
  <c r="L110" i="5"/>
  <c r="M110" i="5" s="1"/>
  <c r="N109" i="5"/>
  <c r="L109" i="5"/>
  <c r="M109" i="5" s="1"/>
  <c r="M29" i="5"/>
  <c r="K29" i="5"/>
  <c r="L29" i="5" s="1"/>
  <c r="N110" i="4"/>
  <c r="L110" i="4"/>
  <c r="M110" i="4" s="1"/>
  <c r="N109" i="4"/>
  <c r="L109" i="4"/>
  <c r="M109" i="4" s="1"/>
  <c r="M29" i="4"/>
  <c r="K29" i="4"/>
  <c r="L29" i="4" s="1"/>
  <c r="N110" i="3"/>
  <c r="L110" i="3"/>
  <c r="M110" i="3" s="1"/>
  <c r="N109" i="3"/>
  <c r="L109" i="3"/>
  <c r="M109" i="3" s="1"/>
  <c r="M29" i="3"/>
  <c r="K29" i="3"/>
  <c r="L29" i="3" s="1"/>
  <c r="P45" i="17" l="1"/>
  <c r="I17" i="44"/>
  <c r="I18" i="44"/>
  <c r="M17" i="46" l="1"/>
  <c r="K17" i="46"/>
  <c r="L17" i="46" s="1"/>
  <c r="M23" i="31"/>
  <c r="K23" i="31"/>
  <c r="L23" i="31" s="1"/>
  <c r="M22" i="30"/>
  <c r="K22" i="30"/>
  <c r="L22" i="30" s="1"/>
  <c r="M18" i="44" l="1"/>
  <c r="K18" i="44"/>
  <c r="L18" i="44" s="1"/>
  <c r="M19" i="43"/>
  <c r="K19" i="43"/>
  <c r="L19" i="43" s="1"/>
  <c r="M19" i="42"/>
  <c r="K19" i="42"/>
  <c r="L19" i="42" s="1"/>
  <c r="M19" i="41"/>
  <c r="K19" i="41"/>
  <c r="L19" i="41" s="1"/>
  <c r="M19" i="40"/>
  <c r="K19" i="40"/>
  <c r="L19" i="40" s="1"/>
  <c r="M20" i="39"/>
  <c r="K20" i="39"/>
  <c r="L20" i="39" s="1"/>
  <c r="M20" i="38"/>
  <c r="K20" i="38"/>
  <c r="L20" i="38" s="1"/>
  <c r="M20" i="37"/>
  <c r="K20" i="37"/>
  <c r="L20" i="37" s="1"/>
  <c r="M23" i="29"/>
  <c r="K23" i="29"/>
  <c r="L23" i="29" s="1"/>
  <c r="M23" i="28"/>
  <c r="K23" i="28"/>
  <c r="L23" i="28" s="1"/>
  <c r="M24" i="27"/>
  <c r="K24" i="27"/>
  <c r="L24" i="27" s="1"/>
  <c r="M27" i="25"/>
  <c r="K27" i="25"/>
  <c r="L27" i="25" s="1"/>
  <c r="M25" i="24"/>
  <c r="K25" i="24"/>
  <c r="L25" i="24" s="1"/>
  <c r="M26" i="23"/>
  <c r="K26" i="23"/>
  <c r="L26" i="23" s="1"/>
  <c r="M27" i="22"/>
  <c r="K27" i="22"/>
  <c r="L27" i="22" s="1"/>
  <c r="M30" i="11"/>
  <c r="K30" i="11"/>
  <c r="L30" i="11" s="1"/>
  <c r="M31" i="10"/>
  <c r="K31" i="10"/>
  <c r="L31" i="10" s="1"/>
  <c r="M30" i="9"/>
  <c r="K30" i="9"/>
  <c r="L30" i="9" s="1"/>
  <c r="M29" i="8"/>
  <c r="K29" i="8"/>
  <c r="L29" i="8" s="1"/>
  <c r="M31" i="7"/>
  <c r="K31" i="7"/>
  <c r="L31" i="7" s="1"/>
  <c r="M29" i="6"/>
  <c r="K29" i="6"/>
  <c r="L29" i="6" s="1"/>
  <c r="M28" i="5"/>
  <c r="K28" i="5"/>
  <c r="L28" i="5" s="1"/>
  <c r="M28" i="4"/>
  <c r="K28" i="4"/>
  <c r="L28" i="4" s="1"/>
  <c r="M28" i="3"/>
  <c r="K28" i="3"/>
  <c r="L28" i="3" s="1"/>
  <c r="E13" i="17"/>
  <c r="H3" i="17"/>
  <c r="W43" i="17" l="1"/>
  <c r="N52" i="17"/>
  <c r="M17" i="45" l="1"/>
  <c r="K17" i="45"/>
  <c r="L17" i="45" s="1"/>
  <c r="M17" i="44"/>
  <c r="K17" i="44"/>
  <c r="L17" i="44" s="1"/>
  <c r="M18" i="42"/>
  <c r="K18" i="42"/>
  <c r="L18" i="42" s="1"/>
  <c r="M18" i="43"/>
  <c r="K18" i="43"/>
  <c r="L18" i="43" s="1"/>
  <c r="M18" i="41"/>
  <c r="K18" i="41"/>
  <c r="L18" i="41" s="1"/>
  <c r="M18" i="40"/>
  <c r="K18" i="40"/>
  <c r="L18" i="40" s="1"/>
  <c r="M19" i="39"/>
  <c r="K19" i="39"/>
  <c r="L19" i="39" s="1"/>
  <c r="M19" i="38"/>
  <c r="K19" i="38"/>
  <c r="L19" i="38" s="1"/>
  <c r="M19" i="37"/>
  <c r="K19" i="37"/>
  <c r="L19" i="37" s="1"/>
  <c r="M22" i="31"/>
  <c r="K22" i="31"/>
  <c r="L22" i="31" s="1"/>
  <c r="M21" i="30"/>
  <c r="K21" i="30"/>
  <c r="L21" i="30" s="1"/>
  <c r="M22" i="29"/>
  <c r="K22" i="29"/>
  <c r="L22" i="29" s="1"/>
  <c r="M22" i="28"/>
  <c r="K22" i="28"/>
  <c r="L22" i="28" s="1"/>
  <c r="M23" i="27"/>
  <c r="K23" i="27"/>
  <c r="L23" i="27" s="1"/>
  <c r="M26" i="25"/>
  <c r="N26" i="25" s="1"/>
  <c r="K26" i="25"/>
  <c r="L26" i="25" s="1"/>
  <c r="M24" i="24"/>
  <c r="N24" i="24" s="1"/>
  <c r="K24" i="24"/>
  <c r="L24" i="24" s="1"/>
  <c r="M25" i="23"/>
  <c r="N25" i="23" s="1"/>
  <c r="K25" i="23"/>
  <c r="L25" i="23" s="1"/>
  <c r="M26" i="22"/>
  <c r="N26" i="22" s="1"/>
  <c r="K26" i="22"/>
  <c r="L26" i="22" s="1"/>
  <c r="M29" i="11"/>
  <c r="N29" i="11" s="1"/>
  <c r="K29" i="11"/>
  <c r="L29" i="11" s="1"/>
  <c r="O24" i="24" l="1"/>
  <c r="O25" i="23"/>
  <c r="O26" i="22"/>
  <c r="M30" i="10" l="1"/>
  <c r="N30" i="10" s="1"/>
  <c r="K30" i="10"/>
  <c r="L30" i="10" s="1"/>
  <c r="M29" i="9"/>
  <c r="N29" i="9" s="1"/>
  <c r="K29" i="9"/>
  <c r="L29" i="9" s="1"/>
  <c r="M28" i="8"/>
  <c r="N28" i="8" s="1"/>
  <c r="K28" i="8"/>
  <c r="L28" i="8" s="1"/>
  <c r="M30" i="7"/>
  <c r="N30" i="7" s="1"/>
  <c r="K30" i="7"/>
  <c r="L30" i="7" s="1"/>
  <c r="M28" i="6"/>
  <c r="N28" i="6" s="1"/>
  <c r="K28" i="6"/>
  <c r="L28" i="6" s="1"/>
  <c r="M27" i="5"/>
  <c r="N27" i="5" s="1"/>
  <c r="K27" i="5"/>
  <c r="L27" i="5" s="1"/>
  <c r="M27" i="4"/>
  <c r="N27" i="4" s="1"/>
  <c r="K27" i="4"/>
  <c r="L27" i="4" s="1"/>
  <c r="M27" i="3"/>
  <c r="N27" i="3" s="1"/>
  <c r="K27" i="3"/>
  <c r="L27" i="3" s="1"/>
  <c r="O27" i="4" l="1"/>
  <c r="O30" i="10"/>
  <c r="O29" i="9"/>
  <c r="O28" i="8"/>
  <c r="O30" i="7"/>
  <c r="O28" i="6"/>
  <c r="O27" i="5"/>
  <c r="O27" i="3"/>
  <c r="N99" i="43" l="1"/>
  <c r="O99" i="43" s="1"/>
  <c r="L99" i="43"/>
  <c r="M99" i="43" s="1"/>
  <c r="N99" i="42"/>
  <c r="O99" i="42" s="1"/>
  <c r="L99" i="42"/>
  <c r="M99" i="42" s="1"/>
  <c r="N99" i="41"/>
  <c r="O99" i="41" s="1"/>
  <c r="L99" i="41"/>
  <c r="M99" i="41" s="1"/>
  <c r="N99" i="40"/>
  <c r="O99" i="40" s="1"/>
  <c r="L99" i="40"/>
  <c r="M99" i="40" s="1"/>
  <c r="N100" i="39"/>
  <c r="O100" i="39" s="1"/>
  <c r="L100" i="39"/>
  <c r="M100" i="39" s="1"/>
  <c r="N100" i="37"/>
  <c r="O100" i="37" s="1"/>
  <c r="L100" i="37"/>
  <c r="M100" i="37" s="1"/>
  <c r="N103" i="31"/>
  <c r="O103" i="31" s="1"/>
  <c r="L103" i="31"/>
  <c r="M103" i="31" s="1"/>
  <c r="N102" i="30"/>
  <c r="O102" i="30" s="1"/>
  <c r="L102" i="30"/>
  <c r="M102" i="30" s="1"/>
  <c r="N103" i="29"/>
  <c r="O103" i="29" s="1"/>
  <c r="L103" i="29"/>
  <c r="M103" i="29" s="1"/>
  <c r="N103" i="28"/>
  <c r="O103" i="28" s="1"/>
  <c r="L103" i="28"/>
  <c r="M103" i="28" s="1"/>
  <c r="N104" i="27"/>
  <c r="O104" i="27" s="1"/>
  <c r="L104" i="27"/>
  <c r="M104" i="27" s="1"/>
  <c r="N107" i="25"/>
  <c r="O107" i="25" s="1"/>
  <c r="L107" i="25"/>
  <c r="M107" i="25" s="1"/>
  <c r="N105" i="24"/>
  <c r="O105" i="24" s="1"/>
  <c r="L105" i="24"/>
  <c r="M105" i="24" s="1"/>
  <c r="N106" i="23"/>
  <c r="O106" i="23" s="1"/>
  <c r="L106" i="23"/>
  <c r="M106" i="23" s="1"/>
  <c r="N107" i="22"/>
  <c r="O107" i="22" s="1"/>
  <c r="L107" i="22"/>
  <c r="M107" i="22" s="1"/>
  <c r="N110" i="11"/>
  <c r="O110" i="11" s="1"/>
  <c r="L110" i="11"/>
  <c r="M110" i="11" s="1"/>
  <c r="N111" i="10"/>
  <c r="O111" i="10" s="1"/>
  <c r="L111" i="10"/>
  <c r="M111" i="10" s="1"/>
  <c r="N110" i="9"/>
  <c r="O110" i="9" s="1"/>
  <c r="L110" i="9"/>
  <c r="M110" i="9" s="1"/>
  <c r="N109" i="8"/>
  <c r="O109" i="8" s="1"/>
  <c r="L109" i="8"/>
  <c r="M109" i="8" s="1"/>
  <c r="N111" i="7"/>
  <c r="O111" i="7" s="1"/>
  <c r="L111" i="7"/>
  <c r="M111" i="7" s="1"/>
  <c r="N109" i="6"/>
  <c r="O109" i="6" s="1"/>
  <c r="L109" i="6"/>
  <c r="M109" i="6" s="1"/>
  <c r="N108" i="5"/>
  <c r="O108" i="5" s="1"/>
  <c r="L108" i="5"/>
  <c r="M108" i="5" s="1"/>
  <c r="N108" i="4"/>
  <c r="O108" i="4" s="1"/>
  <c r="L108" i="4"/>
  <c r="M108" i="4" s="1"/>
  <c r="N108" i="3"/>
  <c r="O108" i="3" s="1"/>
  <c r="L108" i="3"/>
  <c r="M108" i="3" s="1"/>
  <c r="O52" i="17"/>
  <c r="P44" i="17"/>
  <c r="P43" i="17"/>
  <c r="P106" i="23" l="1"/>
  <c r="P103" i="28"/>
  <c r="P99" i="42"/>
  <c r="P103" i="31"/>
  <c r="P99" i="41"/>
  <c r="P109" i="6"/>
  <c r="P100" i="37"/>
  <c r="P108" i="5"/>
  <c r="P107" i="22"/>
  <c r="P104" i="27"/>
  <c r="P108" i="4"/>
  <c r="P109" i="8"/>
  <c r="P110" i="11"/>
  <c r="P107" i="25"/>
  <c r="P99" i="40"/>
  <c r="P108" i="3"/>
  <c r="P111" i="7"/>
  <c r="P111" i="10"/>
  <c r="P105" i="24"/>
  <c r="P103" i="29"/>
  <c r="P100" i="39"/>
  <c r="P99" i="43"/>
  <c r="P110" i="9"/>
  <c r="P102" i="30"/>
  <c r="J52" i="17" l="1"/>
  <c r="G96" i="17" l="1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M17" i="43"/>
  <c r="K17" i="43"/>
  <c r="E36" i="1"/>
  <c r="E35" i="1"/>
  <c r="C36" i="1"/>
  <c r="C35" i="1"/>
  <c r="L19" i="1"/>
  <c r="I59" i="17"/>
  <c r="I10" i="54" l="1"/>
  <c r="I10" i="55"/>
  <c r="G98" i="17"/>
  <c r="I10" i="48"/>
  <c r="I10" i="49"/>
  <c r="I10" i="47"/>
  <c r="I10" i="27"/>
  <c r="A4" i="1"/>
  <c r="A2" i="1"/>
  <c r="F98" i="17"/>
  <c r="E98" i="17"/>
  <c r="D94" i="55" l="1"/>
  <c r="D92" i="55"/>
  <c r="J96" i="55" s="1"/>
  <c r="D94" i="54"/>
  <c r="D92" i="54"/>
  <c r="B100" i="47"/>
  <c r="P42" i="17"/>
  <c r="E99" i="55" l="1"/>
  <c r="F99" i="55" s="1"/>
  <c r="D100" i="55" s="1"/>
  <c r="B100" i="55" s="1"/>
  <c r="J96" i="54"/>
  <c r="B100" i="48"/>
  <c r="D100" i="49"/>
  <c r="E100" i="49" s="1"/>
  <c r="E36" i="2"/>
  <c r="E35" i="2"/>
  <c r="C36" i="2"/>
  <c r="C35" i="2"/>
  <c r="C34" i="2"/>
  <c r="E100" i="55" l="1"/>
  <c r="F100" i="55" s="1"/>
  <c r="G99" i="55"/>
  <c r="G100" i="55"/>
  <c r="D101" i="55"/>
  <c r="I99" i="55"/>
  <c r="H99" i="55"/>
  <c r="E99" i="54"/>
  <c r="F99" i="54" s="1"/>
  <c r="D101" i="48"/>
  <c r="B100" i="49"/>
  <c r="F100" i="49"/>
  <c r="W42" i="17"/>
  <c r="P154" i="46"/>
  <c r="O154" i="46"/>
  <c r="M154" i="46"/>
  <c r="J154" i="46"/>
  <c r="P153" i="46"/>
  <c r="O153" i="46"/>
  <c r="M153" i="46"/>
  <c r="J153" i="46"/>
  <c r="P152" i="46"/>
  <c r="O152" i="46"/>
  <c r="M152" i="46"/>
  <c r="J152" i="46"/>
  <c r="P151" i="46"/>
  <c r="O151" i="46"/>
  <c r="M151" i="46"/>
  <c r="J151" i="46"/>
  <c r="P150" i="46"/>
  <c r="O150" i="46"/>
  <c r="M150" i="46"/>
  <c r="J150" i="46"/>
  <c r="P149" i="46"/>
  <c r="O149" i="46"/>
  <c r="M149" i="46"/>
  <c r="J149" i="46"/>
  <c r="P148" i="46"/>
  <c r="O148" i="46"/>
  <c r="M148" i="46"/>
  <c r="J148" i="46"/>
  <c r="P147" i="46"/>
  <c r="O147" i="46"/>
  <c r="M147" i="46"/>
  <c r="J147" i="46"/>
  <c r="P146" i="46"/>
  <c r="O146" i="46"/>
  <c r="M146" i="46"/>
  <c r="J146" i="46"/>
  <c r="P145" i="46"/>
  <c r="O145" i="46"/>
  <c r="M145" i="46"/>
  <c r="J145" i="46"/>
  <c r="P144" i="46"/>
  <c r="O144" i="46"/>
  <c r="M144" i="46"/>
  <c r="J144" i="46"/>
  <c r="P143" i="46"/>
  <c r="O143" i="46"/>
  <c r="M143" i="46"/>
  <c r="J143" i="46"/>
  <c r="P142" i="46"/>
  <c r="O142" i="46"/>
  <c r="M142" i="46"/>
  <c r="J142" i="46"/>
  <c r="P141" i="46"/>
  <c r="O141" i="46"/>
  <c r="M141" i="46"/>
  <c r="J141" i="46"/>
  <c r="P140" i="46"/>
  <c r="O140" i="46"/>
  <c r="M140" i="46"/>
  <c r="J140" i="46"/>
  <c r="P139" i="46"/>
  <c r="O139" i="46"/>
  <c r="M139" i="46"/>
  <c r="J139" i="46"/>
  <c r="P138" i="46"/>
  <c r="O138" i="46"/>
  <c r="M138" i="46"/>
  <c r="J138" i="46"/>
  <c r="P137" i="46"/>
  <c r="O137" i="46"/>
  <c r="M137" i="46"/>
  <c r="J137" i="46"/>
  <c r="P136" i="46"/>
  <c r="O136" i="46"/>
  <c r="M136" i="46"/>
  <c r="J136" i="46"/>
  <c r="P135" i="46"/>
  <c r="O135" i="46"/>
  <c r="M135" i="46"/>
  <c r="J135" i="46"/>
  <c r="P134" i="46"/>
  <c r="O134" i="46"/>
  <c r="M134" i="46"/>
  <c r="J134" i="46"/>
  <c r="P133" i="46"/>
  <c r="O133" i="46"/>
  <c r="M133" i="46"/>
  <c r="J133" i="46"/>
  <c r="P132" i="46"/>
  <c r="O132" i="46"/>
  <c r="M132" i="46"/>
  <c r="J132" i="46"/>
  <c r="P131" i="46"/>
  <c r="O131" i="46"/>
  <c r="M131" i="46"/>
  <c r="J131" i="46"/>
  <c r="O130" i="46"/>
  <c r="M130" i="46"/>
  <c r="O129" i="46"/>
  <c r="M129" i="46"/>
  <c r="O128" i="46"/>
  <c r="M128" i="46"/>
  <c r="O127" i="46"/>
  <c r="M127" i="46"/>
  <c r="O126" i="46"/>
  <c r="M126" i="46"/>
  <c r="O125" i="46"/>
  <c r="M125" i="46"/>
  <c r="O124" i="46"/>
  <c r="M124" i="46"/>
  <c r="O123" i="46"/>
  <c r="M123" i="46"/>
  <c r="O122" i="46"/>
  <c r="M122" i="46"/>
  <c r="O121" i="46"/>
  <c r="M121" i="46"/>
  <c r="O120" i="46"/>
  <c r="M120" i="46"/>
  <c r="O119" i="46"/>
  <c r="M119" i="46"/>
  <c r="O118" i="46"/>
  <c r="M118" i="46"/>
  <c r="O117" i="46"/>
  <c r="M117" i="46"/>
  <c r="O116" i="46"/>
  <c r="M116" i="46"/>
  <c r="O115" i="46"/>
  <c r="M115" i="46"/>
  <c r="O114" i="46"/>
  <c r="M114" i="46"/>
  <c r="O113" i="46"/>
  <c r="M113" i="46"/>
  <c r="O112" i="46"/>
  <c r="M112" i="46"/>
  <c r="O111" i="46"/>
  <c r="M111" i="46"/>
  <c r="O110" i="46"/>
  <c r="M110" i="46"/>
  <c r="O109" i="46"/>
  <c r="M109" i="46"/>
  <c r="O108" i="46"/>
  <c r="M108" i="46"/>
  <c r="O107" i="46"/>
  <c r="M107" i="46"/>
  <c r="O106" i="46"/>
  <c r="M106" i="46"/>
  <c r="O105" i="46"/>
  <c r="M105" i="46"/>
  <c r="O104" i="46"/>
  <c r="M104" i="46"/>
  <c r="O103" i="46"/>
  <c r="M103" i="46"/>
  <c r="O102" i="46"/>
  <c r="M102" i="46"/>
  <c r="O101" i="46"/>
  <c r="M101" i="46"/>
  <c r="O99" i="46"/>
  <c r="C99" i="46"/>
  <c r="C100" i="46" s="1"/>
  <c r="C101" i="46" s="1"/>
  <c r="C102" i="46" s="1"/>
  <c r="C103" i="46" s="1"/>
  <c r="C104" i="46" s="1"/>
  <c r="C105" i="46" s="1"/>
  <c r="C106" i="46" s="1"/>
  <c r="C107" i="46" s="1"/>
  <c r="C108" i="46" s="1"/>
  <c r="C109" i="46" s="1"/>
  <c r="C110" i="46" s="1"/>
  <c r="C111" i="46" s="1"/>
  <c r="C112" i="46" s="1"/>
  <c r="C113" i="46" s="1"/>
  <c r="C114" i="46" s="1"/>
  <c r="C115" i="46" s="1"/>
  <c r="C116" i="46" s="1"/>
  <c r="C117" i="46" s="1"/>
  <c r="C118" i="46" s="1"/>
  <c r="C119" i="46" s="1"/>
  <c r="C120" i="46" s="1"/>
  <c r="C121" i="46" s="1"/>
  <c r="C122" i="46" s="1"/>
  <c r="C123" i="46" s="1"/>
  <c r="C124" i="46" s="1"/>
  <c r="C125" i="46" s="1"/>
  <c r="C126" i="46" s="1"/>
  <c r="C127" i="46" s="1"/>
  <c r="C128" i="46" s="1"/>
  <c r="C129" i="46" s="1"/>
  <c r="C130" i="46" s="1"/>
  <c r="C131" i="46" s="1"/>
  <c r="C132" i="46" s="1"/>
  <c r="C133" i="46" s="1"/>
  <c r="C134" i="46" s="1"/>
  <c r="C135" i="46" s="1"/>
  <c r="C136" i="46" s="1"/>
  <c r="C137" i="46" s="1"/>
  <c r="C138" i="46" s="1"/>
  <c r="C139" i="46" s="1"/>
  <c r="C140" i="46" s="1"/>
  <c r="C141" i="46" s="1"/>
  <c r="C142" i="46" s="1"/>
  <c r="C143" i="46" s="1"/>
  <c r="C144" i="46" s="1"/>
  <c r="C145" i="46" s="1"/>
  <c r="C146" i="46" s="1"/>
  <c r="C147" i="46" s="1"/>
  <c r="C148" i="46" s="1"/>
  <c r="C149" i="46" s="1"/>
  <c r="C150" i="46" s="1"/>
  <c r="C151" i="46" s="1"/>
  <c r="C152" i="46" s="1"/>
  <c r="C153" i="46" s="1"/>
  <c r="C154" i="46" s="1"/>
  <c r="D96" i="46"/>
  <c r="L93" i="46"/>
  <c r="J93" i="46"/>
  <c r="N72" i="46"/>
  <c r="L72" i="46"/>
  <c r="N71" i="46"/>
  <c r="L71" i="46"/>
  <c r="N70" i="46"/>
  <c r="L70" i="46"/>
  <c r="N69" i="46"/>
  <c r="L69" i="46"/>
  <c r="N68" i="46"/>
  <c r="L68" i="46"/>
  <c r="N67" i="46"/>
  <c r="L67" i="46"/>
  <c r="N66" i="46"/>
  <c r="L66" i="46"/>
  <c r="N65" i="46"/>
  <c r="L65" i="46"/>
  <c r="N64" i="46"/>
  <c r="L64" i="46"/>
  <c r="N63" i="46"/>
  <c r="L63" i="46"/>
  <c r="N62" i="46"/>
  <c r="L62" i="46"/>
  <c r="N61" i="46"/>
  <c r="L61" i="46"/>
  <c r="N60" i="46"/>
  <c r="L60" i="46"/>
  <c r="N59" i="46"/>
  <c r="L59" i="46"/>
  <c r="N58" i="46"/>
  <c r="L58" i="46"/>
  <c r="N57" i="46"/>
  <c r="L57" i="46"/>
  <c r="N56" i="46"/>
  <c r="L56" i="46"/>
  <c r="N55" i="46"/>
  <c r="L55" i="46"/>
  <c r="N54" i="46"/>
  <c r="L54" i="46"/>
  <c r="N53" i="46"/>
  <c r="L53" i="46"/>
  <c r="N52" i="46"/>
  <c r="L52" i="46"/>
  <c r="N51" i="46"/>
  <c r="L51" i="46"/>
  <c r="N50" i="46"/>
  <c r="L50" i="46"/>
  <c r="N49" i="46"/>
  <c r="L49" i="46"/>
  <c r="N48" i="46"/>
  <c r="L48" i="46"/>
  <c r="N47" i="46"/>
  <c r="L47" i="46"/>
  <c r="N46" i="46"/>
  <c r="L46" i="46"/>
  <c r="N45" i="46"/>
  <c r="L45" i="46"/>
  <c r="N44" i="46"/>
  <c r="L44" i="46"/>
  <c r="N43" i="46"/>
  <c r="L43" i="46"/>
  <c r="N42" i="46"/>
  <c r="L42" i="46"/>
  <c r="N41" i="46"/>
  <c r="L41" i="46"/>
  <c r="N40" i="46"/>
  <c r="L40" i="46"/>
  <c r="N39" i="46"/>
  <c r="L39" i="46"/>
  <c r="N38" i="46"/>
  <c r="L38" i="46"/>
  <c r="N37" i="46"/>
  <c r="L37" i="46"/>
  <c r="N36" i="46"/>
  <c r="L36" i="46"/>
  <c r="N35" i="46"/>
  <c r="L35" i="46"/>
  <c r="N34" i="46"/>
  <c r="L34" i="46"/>
  <c r="N33" i="46"/>
  <c r="L33" i="46"/>
  <c r="N32" i="46"/>
  <c r="L32" i="46"/>
  <c r="N31" i="46"/>
  <c r="L31" i="46"/>
  <c r="N30" i="46"/>
  <c r="L30" i="46"/>
  <c r="N29" i="46"/>
  <c r="L29" i="46"/>
  <c r="N28" i="46"/>
  <c r="L28" i="46"/>
  <c r="N27" i="46"/>
  <c r="L27" i="46"/>
  <c r="N26" i="46"/>
  <c r="L26" i="46"/>
  <c r="N25" i="46"/>
  <c r="L25" i="46"/>
  <c r="N24" i="46"/>
  <c r="L24" i="46"/>
  <c r="N23" i="46"/>
  <c r="L23" i="46"/>
  <c r="N22" i="46"/>
  <c r="L22" i="46"/>
  <c r="N21" i="46"/>
  <c r="L21" i="46"/>
  <c r="N19" i="46"/>
  <c r="N18" i="46"/>
  <c r="N17" i="46"/>
  <c r="C17" i="46"/>
  <c r="C18" i="46" s="1"/>
  <c r="C19" i="46" s="1"/>
  <c r="C20" i="46" s="1"/>
  <c r="C21" i="46" s="1"/>
  <c r="C22" i="46" s="1"/>
  <c r="C23" i="46" s="1"/>
  <c r="C24" i="46" s="1"/>
  <c r="C25" i="46" s="1"/>
  <c r="C26" i="46" s="1"/>
  <c r="C27" i="46" s="1"/>
  <c r="C28" i="46" s="1"/>
  <c r="C29" i="46" s="1"/>
  <c r="C30" i="46" s="1"/>
  <c r="C31" i="46" s="1"/>
  <c r="C32" i="46" s="1"/>
  <c r="C33" i="46" s="1"/>
  <c r="C34" i="46" s="1"/>
  <c r="C35" i="46" s="1"/>
  <c r="C36" i="46" s="1"/>
  <c r="C37" i="46" s="1"/>
  <c r="C38" i="46" s="1"/>
  <c r="C39" i="46" s="1"/>
  <c r="C40" i="46" s="1"/>
  <c r="C41" i="46" s="1"/>
  <c r="C42" i="46" s="1"/>
  <c r="C43" i="46" s="1"/>
  <c r="C44" i="46" s="1"/>
  <c r="K11" i="46"/>
  <c r="I11" i="46"/>
  <c r="P1" i="46"/>
  <c r="P83" i="46" s="1"/>
  <c r="P154" i="45"/>
  <c r="O154" i="45"/>
  <c r="M154" i="45"/>
  <c r="J154" i="45"/>
  <c r="P153" i="45"/>
  <c r="O153" i="45"/>
  <c r="M153" i="45"/>
  <c r="J153" i="45"/>
  <c r="P152" i="45"/>
  <c r="O152" i="45"/>
  <c r="M152" i="45"/>
  <c r="J152" i="45"/>
  <c r="P151" i="45"/>
  <c r="O151" i="45"/>
  <c r="M151" i="45"/>
  <c r="J151" i="45"/>
  <c r="P150" i="45"/>
  <c r="O150" i="45"/>
  <c r="M150" i="45"/>
  <c r="J150" i="45"/>
  <c r="P149" i="45"/>
  <c r="O149" i="45"/>
  <c r="M149" i="45"/>
  <c r="J149" i="45"/>
  <c r="P148" i="45"/>
  <c r="O148" i="45"/>
  <c r="M148" i="45"/>
  <c r="J148" i="45"/>
  <c r="P147" i="45"/>
  <c r="O147" i="45"/>
  <c r="M147" i="45"/>
  <c r="J147" i="45"/>
  <c r="P146" i="45"/>
  <c r="O146" i="45"/>
  <c r="M146" i="45"/>
  <c r="J146" i="45"/>
  <c r="P145" i="45"/>
  <c r="O145" i="45"/>
  <c r="M145" i="45"/>
  <c r="J145" i="45"/>
  <c r="P144" i="45"/>
  <c r="O144" i="45"/>
  <c r="M144" i="45"/>
  <c r="J144" i="45"/>
  <c r="P143" i="45"/>
  <c r="O143" i="45"/>
  <c r="M143" i="45"/>
  <c r="J143" i="45"/>
  <c r="P142" i="45"/>
  <c r="O142" i="45"/>
  <c r="M142" i="45"/>
  <c r="J142" i="45"/>
  <c r="P141" i="45"/>
  <c r="O141" i="45"/>
  <c r="M141" i="45"/>
  <c r="J141" i="45"/>
  <c r="P140" i="45"/>
  <c r="O140" i="45"/>
  <c r="M140" i="45"/>
  <c r="J140" i="45"/>
  <c r="P139" i="45"/>
  <c r="O139" i="45"/>
  <c r="M139" i="45"/>
  <c r="J139" i="45"/>
  <c r="P138" i="45"/>
  <c r="O138" i="45"/>
  <c r="M138" i="45"/>
  <c r="J138" i="45"/>
  <c r="P137" i="45"/>
  <c r="O137" i="45"/>
  <c r="M137" i="45"/>
  <c r="J137" i="45"/>
  <c r="P136" i="45"/>
  <c r="O136" i="45"/>
  <c r="M136" i="45"/>
  <c r="J136" i="45"/>
  <c r="P135" i="45"/>
  <c r="O135" i="45"/>
  <c r="M135" i="45"/>
  <c r="J135" i="45"/>
  <c r="P134" i="45"/>
  <c r="O134" i="45"/>
  <c r="M134" i="45"/>
  <c r="J134" i="45"/>
  <c r="P133" i="45"/>
  <c r="O133" i="45"/>
  <c r="M133" i="45"/>
  <c r="J133" i="45"/>
  <c r="P132" i="45"/>
  <c r="O132" i="45"/>
  <c r="M132" i="45"/>
  <c r="J132" i="45"/>
  <c r="P131" i="45"/>
  <c r="O131" i="45"/>
  <c r="M131" i="45"/>
  <c r="J131" i="45"/>
  <c r="O130" i="45"/>
  <c r="M130" i="45"/>
  <c r="O129" i="45"/>
  <c r="M129" i="45"/>
  <c r="O128" i="45"/>
  <c r="M128" i="45"/>
  <c r="O127" i="45"/>
  <c r="M127" i="45"/>
  <c r="O126" i="45"/>
  <c r="M126" i="45"/>
  <c r="O125" i="45"/>
  <c r="M125" i="45"/>
  <c r="O124" i="45"/>
  <c r="M124" i="45"/>
  <c r="O123" i="45"/>
  <c r="M123" i="45"/>
  <c r="O122" i="45"/>
  <c r="M122" i="45"/>
  <c r="O121" i="45"/>
  <c r="M121" i="45"/>
  <c r="O120" i="45"/>
  <c r="M120" i="45"/>
  <c r="O119" i="45"/>
  <c r="M119" i="45"/>
  <c r="O118" i="45"/>
  <c r="M118" i="45"/>
  <c r="O117" i="45"/>
  <c r="M117" i="45"/>
  <c r="O116" i="45"/>
  <c r="M116" i="45"/>
  <c r="O115" i="45"/>
  <c r="M115" i="45"/>
  <c r="O114" i="45"/>
  <c r="M114" i="45"/>
  <c r="O113" i="45"/>
  <c r="M113" i="45"/>
  <c r="O112" i="45"/>
  <c r="M112" i="45"/>
  <c r="O111" i="45"/>
  <c r="M111" i="45"/>
  <c r="O110" i="45"/>
  <c r="M110" i="45"/>
  <c r="O109" i="45"/>
  <c r="M109" i="45"/>
  <c r="O108" i="45"/>
  <c r="M108" i="45"/>
  <c r="O107" i="45"/>
  <c r="M107" i="45"/>
  <c r="O106" i="45"/>
  <c r="M106" i="45"/>
  <c r="O105" i="45"/>
  <c r="M105" i="45"/>
  <c r="O104" i="45"/>
  <c r="M104" i="45"/>
  <c r="O103" i="45"/>
  <c r="M103" i="45"/>
  <c r="O102" i="45"/>
  <c r="M102" i="45"/>
  <c r="O100" i="45"/>
  <c r="O99" i="45"/>
  <c r="C99" i="45"/>
  <c r="C100" i="45" s="1"/>
  <c r="C101" i="45" s="1"/>
  <c r="C102" i="45" s="1"/>
  <c r="C103" i="45" s="1"/>
  <c r="C104" i="45" s="1"/>
  <c r="C105" i="45" s="1"/>
  <c r="C106" i="45" s="1"/>
  <c r="C107" i="45" s="1"/>
  <c r="C108" i="45" s="1"/>
  <c r="C109" i="45" s="1"/>
  <c r="C110" i="45" s="1"/>
  <c r="C111" i="45" s="1"/>
  <c r="C112" i="45" s="1"/>
  <c r="C113" i="45" s="1"/>
  <c r="C114" i="45" s="1"/>
  <c r="C115" i="45" s="1"/>
  <c r="C116" i="45" s="1"/>
  <c r="C117" i="45" s="1"/>
  <c r="C118" i="45" s="1"/>
  <c r="C119" i="45" s="1"/>
  <c r="C120" i="45" s="1"/>
  <c r="C121" i="45" s="1"/>
  <c r="C122" i="45" s="1"/>
  <c r="C123" i="45" s="1"/>
  <c r="C124" i="45" s="1"/>
  <c r="C125" i="45" s="1"/>
  <c r="C126" i="45" s="1"/>
  <c r="C127" i="45" s="1"/>
  <c r="C128" i="45" s="1"/>
  <c r="C129" i="45" s="1"/>
  <c r="C130" i="45" s="1"/>
  <c r="C131" i="45" s="1"/>
  <c r="C132" i="45" s="1"/>
  <c r="C133" i="45" s="1"/>
  <c r="C134" i="45" s="1"/>
  <c r="C135" i="45" s="1"/>
  <c r="C136" i="45" s="1"/>
  <c r="C137" i="45" s="1"/>
  <c r="C138" i="45" s="1"/>
  <c r="C139" i="45" s="1"/>
  <c r="C140" i="45" s="1"/>
  <c r="C141" i="45" s="1"/>
  <c r="C142" i="45" s="1"/>
  <c r="C143" i="45" s="1"/>
  <c r="C144" i="45" s="1"/>
  <c r="C145" i="45" s="1"/>
  <c r="C146" i="45" s="1"/>
  <c r="C147" i="45" s="1"/>
  <c r="C148" i="45" s="1"/>
  <c r="C149" i="45" s="1"/>
  <c r="C150" i="45" s="1"/>
  <c r="C151" i="45" s="1"/>
  <c r="C152" i="45" s="1"/>
  <c r="C153" i="45" s="1"/>
  <c r="C154" i="45" s="1"/>
  <c r="D96" i="45"/>
  <c r="L93" i="45"/>
  <c r="J93" i="45"/>
  <c r="D91" i="45"/>
  <c r="D89" i="45"/>
  <c r="N72" i="45"/>
  <c r="L72" i="45"/>
  <c r="N71" i="45"/>
  <c r="L71" i="45"/>
  <c r="N70" i="45"/>
  <c r="L70" i="45"/>
  <c r="N69" i="45"/>
  <c r="L69" i="45"/>
  <c r="N68" i="45"/>
  <c r="L68" i="45"/>
  <c r="N67" i="45"/>
  <c r="L67" i="45"/>
  <c r="N66" i="45"/>
  <c r="L66" i="45"/>
  <c r="N65" i="45"/>
  <c r="L65" i="45"/>
  <c r="N64" i="45"/>
  <c r="L64" i="45"/>
  <c r="N63" i="45"/>
  <c r="L63" i="45"/>
  <c r="N62" i="45"/>
  <c r="L62" i="45"/>
  <c r="N61" i="45"/>
  <c r="L61" i="45"/>
  <c r="N60" i="45"/>
  <c r="L60" i="45"/>
  <c r="N59" i="45"/>
  <c r="L59" i="45"/>
  <c r="N58" i="45"/>
  <c r="L58" i="45"/>
  <c r="N57" i="45"/>
  <c r="L57" i="45"/>
  <c r="N56" i="45"/>
  <c r="L56" i="45"/>
  <c r="N55" i="45"/>
  <c r="L55" i="45"/>
  <c r="N54" i="45"/>
  <c r="L54" i="45"/>
  <c r="N53" i="45"/>
  <c r="L53" i="45"/>
  <c r="N52" i="45"/>
  <c r="L52" i="45"/>
  <c r="N51" i="45"/>
  <c r="L51" i="45"/>
  <c r="N50" i="45"/>
  <c r="L50" i="45"/>
  <c r="N49" i="45"/>
  <c r="L49" i="45"/>
  <c r="N48" i="45"/>
  <c r="L48" i="45"/>
  <c r="N47" i="45"/>
  <c r="L47" i="45"/>
  <c r="N46" i="45"/>
  <c r="L46" i="45"/>
  <c r="N45" i="45"/>
  <c r="L45" i="45"/>
  <c r="N44" i="45"/>
  <c r="L44" i="45"/>
  <c r="N43" i="45"/>
  <c r="L43" i="45"/>
  <c r="N42" i="45"/>
  <c r="L42" i="45"/>
  <c r="N41" i="45"/>
  <c r="L41" i="45"/>
  <c r="N40" i="45"/>
  <c r="L40" i="45"/>
  <c r="N39" i="45"/>
  <c r="L39" i="45"/>
  <c r="N38" i="45"/>
  <c r="L38" i="45"/>
  <c r="N37" i="45"/>
  <c r="L37" i="45"/>
  <c r="N36" i="45"/>
  <c r="L36" i="45"/>
  <c r="N35" i="45"/>
  <c r="L35" i="45"/>
  <c r="N34" i="45"/>
  <c r="L34" i="45"/>
  <c r="N33" i="45"/>
  <c r="L33" i="45"/>
  <c r="N32" i="45"/>
  <c r="L32" i="45"/>
  <c r="N31" i="45"/>
  <c r="L31" i="45"/>
  <c r="N30" i="45"/>
  <c r="L30" i="45"/>
  <c r="N29" i="45"/>
  <c r="L29" i="45"/>
  <c r="N28" i="45"/>
  <c r="L28" i="45"/>
  <c r="N27" i="45"/>
  <c r="L27" i="45"/>
  <c r="N26" i="45"/>
  <c r="L26" i="45"/>
  <c r="N25" i="45"/>
  <c r="L25" i="45"/>
  <c r="N24" i="45"/>
  <c r="L24" i="45"/>
  <c r="N23" i="45"/>
  <c r="L23" i="45"/>
  <c r="N22" i="45"/>
  <c r="L22" i="45"/>
  <c r="N20" i="45"/>
  <c r="N19" i="45"/>
  <c r="N17" i="45"/>
  <c r="C17" i="45"/>
  <c r="K11" i="45"/>
  <c r="I11" i="45"/>
  <c r="D90" i="45"/>
  <c r="P1" i="45"/>
  <c r="P83" i="45" s="1"/>
  <c r="P154" i="44"/>
  <c r="O154" i="44"/>
  <c r="M154" i="44"/>
  <c r="J154" i="44"/>
  <c r="P153" i="44"/>
  <c r="O153" i="44"/>
  <c r="M153" i="44"/>
  <c r="J153" i="44"/>
  <c r="P152" i="44"/>
  <c r="O152" i="44"/>
  <c r="M152" i="44"/>
  <c r="J152" i="44"/>
  <c r="P151" i="44"/>
  <c r="O151" i="44"/>
  <c r="M151" i="44"/>
  <c r="J151" i="44"/>
  <c r="P150" i="44"/>
  <c r="O150" i="44"/>
  <c r="M150" i="44"/>
  <c r="J150" i="44"/>
  <c r="P149" i="44"/>
  <c r="O149" i="44"/>
  <c r="M149" i="44"/>
  <c r="J149" i="44"/>
  <c r="P148" i="44"/>
  <c r="O148" i="44"/>
  <c r="M148" i="44"/>
  <c r="J148" i="44"/>
  <c r="P147" i="44"/>
  <c r="O147" i="44"/>
  <c r="M147" i="44"/>
  <c r="J147" i="44"/>
  <c r="P146" i="44"/>
  <c r="O146" i="44"/>
  <c r="M146" i="44"/>
  <c r="J146" i="44"/>
  <c r="P145" i="44"/>
  <c r="O145" i="44"/>
  <c r="M145" i="44"/>
  <c r="J145" i="44"/>
  <c r="P144" i="44"/>
  <c r="O144" i="44"/>
  <c r="M144" i="44"/>
  <c r="J144" i="44"/>
  <c r="P143" i="44"/>
  <c r="O143" i="44"/>
  <c r="M143" i="44"/>
  <c r="J143" i="44"/>
  <c r="P142" i="44"/>
  <c r="O142" i="44"/>
  <c r="M142" i="44"/>
  <c r="J142" i="44"/>
  <c r="P141" i="44"/>
  <c r="O141" i="44"/>
  <c r="M141" i="44"/>
  <c r="J141" i="44"/>
  <c r="P140" i="44"/>
  <c r="O140" i="44"/>
  <c r="M140" i="44"/>
  <c r="J140" i="44"/>
  <c r="P139" i="44"/>
  <c r="O139" i="44"/>
  <c r="M139" i="44"/>
  <c r="J139" i="44"/>
  <c r="P138" i="44"/>
  <c r="O138" i="44"/>
  <c r="M138" i="44"/>
  <c r="J138" i="44"/>
  <c r="P137" i="44"/>
  <c r="O137" i="44"/>
  <c r="M137" i="44"/>
  <c r="J137" i="44"/>
  <c r="P136" i="44"/>
  <c r="O136" i="44"/>
  <c r="M136" i="44"/>
  <c r="J136" i="44"/>
  <c r="P135" i="44"/>
  <c r="O135" i="44"/>
  <c r="M135" i="44"/>
  <c r="J135" i="44"/>
  <c r="P134" i="44"/>
  <c r="O134" i="44"/>
  <c r="M134" i="44"/>
  <c r="J134" i="44"/>
  <c r="P133" i="44"/>
  <c r="O133" i="44"/>
  <c r="M133" i="44"/>
  <c r="J133" i="44"/>
  <c r="P132" i="44"/>
  <c r="O132" i="44"/>
  <c r="M132" i="44"/>
  <c r="J132" i="44"/>
  <c r="P131" i="44"/>
  <c r="O131" i="44"/>
  <c r="M131" i="44"/>
  <c r="J131" i="44"/>
  <c r="O130" i="44"/>
  <c r="M130" i="44"/>
  <c r="O129" i="44"/>
  <c r="M129" i="44"/>
  <c r="O128" i="44"/>
  <c r="M128" i="44"/>
  <c r="O127" i="44"/>
  <c r="M127" i="44"/>
  <c r="O126" i="44"/>
  <c r="M126" i="44"/>
  <c r="O125" i="44"/>
  <c r="M125" i="44"/>
  <c r="O124" i="44"/>
  <c r="M124" i="44"/>
  <c r="O123" i="44"/>
  <c r="M123" i="44"/>
  <c r="O122" i="44"/>
  <c r="M122" i="44"/>
  <c r="O121" i="44"/>
  <c r="M121" i="44"/>
  <c r="O120" i="44"/>
  <c r="M120" i="44"/>
  <c r="O119" i="44"/>
  <c r="M119" i="44"/>
  <c r="O118" i="44"/>
  <c r="M118" i="44"/>
  <c r="O117" i="44"/>
  <c r="M117" i="44"/>
  <c r="O116" i="44"/>
  <c r="M116" i="44"/>
  <c r="O115" i="44"/>
  <c r="M115" i="44"/>
  <c r="O114" i="44"/>
  <c r="M114" i="44"/>
  <c r="O113" i="44"/>
  <c r="M113" i="44"/>
  <c r="O112" i="44"/>
  <c r="M112" i="44"/>
  <c r="O111" i="44"/>
  <c r="M111" i="44"/>
  <c r="O110" i="44"/>
  <c r="M110" i="44"/>
  <c r="O109" i="44"/>
  <c r="M109" i="44"/>
  <c r="O108" i="44"/>
  <c r="M108" i="44"/>
  <c r="O107" i="44"/>
  <c r="M107" i="44"/>
  <c r="O106" i="44"/>
  <c r="M106" i="44"/>
  <c r="O105" i="44"/>
  <c r="M105" i="44"/>
  <c r="O104" i="44"/>
  <c r="M104" i="44"/>
  <c r="O103" i="44"/>
  <c r="M103" i="44"/>
  <c r="O102" i="44"/>
  <c r="M102" i="44"/>
  <c r="O100" i="44"/>
  <c r="O99" i="44"/>
  <c r="C99" i="44"/>
  <c r="C100" i="44" s="1"/>
  <c r="C101" i="44" s="1"/>
  <c r="C102" i="44" s="1"/>
  <c r="C103" i="44" s="1"/>
  <c r="C104" i="44" s="1"/>
  <c r="C105" i="44" s="1"/>
  <c r="C106" i="44" s="1"/>
  <c r="C107" i="44" s="1"/>
  <c r="C108" i="44" s="1"/>
  <c r="C109" i="44" s="1"/>
  <c r="C110" i="44" s="1"/>
  <c r="C111" i="44" s="1"/>
  <c r="C112" i="44" s="1"/>
  <c r="C113" i="44" s="1"/>
  <c r="C114" i="44" s="1"/>
  <c r="C115" i="44" s="1"/>
  <c r="C116" i="44" s="1"/>
  <c r="C117" i="44" s="1"/>
  <c r="C118" i="44" s="1"/>
  <c r="C119" i="44" s="1"/>
  <c r="C120" i="44" s="1"/>
  <c r="C121" i="44" s="1"/>
  <c r="C122" i="44" s="1"/>
  <c r="C123" i="44" s="1"/>
  <c r="C124" i="44" s="1"/>
  <c r="C125" i="44" s="1"/>
  <c r="C126" i="44" s="1"/>
  <c r="C127" i="44" s="1"/>
  <c r="C128" i="44" s="1"/>
  <c r="C129" i="44" s="1"/>
  <c r="C130" i="44" s="1"/>
  <c r="C131" i="44" s="1"/>
  <c r="C132" i="44" s="1"/>
  <c r="C133" i="44" s="1"/>
  <c r="C134" i="44" s="1"/>
  <c r="C135" i="44" s="1"/>
  <c r="C136" i="44" s="1"/>
  <c r="C137" i="44" s="1"/>
  <c r="C138" i="44" s="1"/>
  <c r="C139" i="44" s="1"/>
  <c r="C140" i="44" s="1"/>
  <c r="C141" i="44" s="1"/>
  <c r="C142" i="44" s="1"/>
  <c r="C143" i="44" s="1"/>
  <c r="C144" i="44" s="1"/>
  <c r="C145" i="44" s="1"/>
  <c r="C146" i="44" s="1"/>
  <c r="C147" i="44" s="1"/>
  <c r="C148" i="44" s="1"/>
  <c r="C149" i="44" s="1"/>
  <c r="C150" i="44" s="1"/>
  <c r="C151" i="44" s="1"/>
  <c r="C152" i="44" s="1"/>
  <c r="C153" i="44" s="1"/>
  <c r="C154" i="44" s="1"/>
  <c r="D96" i="44"/>
  <c r="L93" i="44"/>
  <c r="J93" i="44"/>
  <c r="D91" i="44"/>
  <c r="D89" i="44"/>
  <c r="N72" i="44"/>
  <c r="L72" i="44"/>
  <c r="N71" i="44"/>
  <c r="L71" i="44"/>
  <c r="N70" i="44"/>
  <c r="L70" i="44"/>
  <c r="N69" i="44"/>
  <c r="L69" i="44"/>
  <c r="N68" i="44"/>
  <c r="L68" i="44"/>
  <c r="N67" i="44"/>
  <c r="L67" i="44"/>
  <c r="N66" i="44"/>
  <c r="L66" i="44"/>
  <c r="N65" i="44"/>
  <c r="L65" i="44"/>
  <c r="N64" i="44"/>
  <c r="L64" i="44"/>
  <c r="N63" i="44"/>
  <c r="L63" i="44"/>
  <c r="N62" i="44"/>
  <c r="L62" i="44"/>
  <c r="N61" i="44"/>
  <c r="L61" i="44"/>
  <c r="N60" i="44"/>
  <c r="L60" i="44"/>
  <c r="N59" i="44"/>
  <c r="L59" i="44"/>
  <c r="N58" i="44"/>
  <c r="L58" i="44"/>
  <c r="N57" i="44"/>
  <c r="L57" i="44"/>
  <c r="N56" i="44"/>
  <c r="L56" i="44"/>
  <c r="N55" i="44"/>
  <c r="L55" i="44"/>
  <c r="N54" i="44"/>
  <c r="L54" i="44"/>
  <c r="N53" i="44"/>
  <c r="L53" i="44"/>
  <c r="N52" i="44"/>
  <c r="L52" i="44"/>
  <c r="N51" i="44"/>
  <c r="L51" i="44"/>
  <c r="N50" i="44"/>
  <c r="L50" i="44"/>
  <c r="N49" i="44"/>
  <c r="L49" i="44"/>
  <c r="N48" i="44"/>
  <c r="L48" i="44"/>
  <c r="N47" i="44"/>
  <c r="L47" i="44"/>
  <c r="N46" i="44"/>
  <c r="L46" i="44"/>
  <c r="N45" i="44"/>
  <c r="L45" i="44"/>
  <c r="N44" i="44"/>
  <c r="L44" i="44"/>
  <c r="N43" i="44"/>
  <c r="L43" i="44"/>
  <c r="N42" i="44"/>
  <c r="L42" i="44"/>
  <c r="N41" i="44"/>
  <c r="L41" i="44"/>
  <c r="N40" i="44"/>
  <c r="L40" i="44"/>
  <c r="N39" i="44"/>
  <c r="L39" i="44"/>
  <c r="N38" i="44"/>
  <c r="L38" i="44"/>
  <c r="N37" i="44"/>
  <c r="L37" i="44"/>
  <c r="N36" i="44"/>
  <c r="L36" i="44"/>
  <c r="N35" i="44"/>
  <c r="L35" i="44"/>
  <c r="N34" i="44"/>
  <c r="L34" i="44"/>
  <c r="N33" i="44"/>
  <c r="L33" i="44"/>
  <c r="N32" i="44"/>
  <c r="L32" i="44"/>
  <c r="N31" i="44"/>
  <c r="L31" i="44"/>
  <c r="N30" i="44"/>
  <c r="L30" i="44"/>
  <c r="N29" i="44"/>
  <c r="L29" i="44"/>
  <c r="N28" i="44"/>
  <c r="L28" i="44"/>
  <c r="N27" i="44"/>
  <c r="L27" i="44"/>
  <c r="N26" i="44"/>
  <c r="L26" i="44"/>
  <c r="N25" i="44"/>
  <c r="L25" i="44"/>
  <c r="N24" i="44"/>
  <c r="L24" i="44"/>
  <c r="N23" i="44"/>
  <c r="L23" i="44"/>
  <c r="N22" i="44"/>
  <c r="L22" i="44"/>
  <c r="N20" i="44"/>
  <c r="N19" i="44"/>
  <c r="N18" i="44"/>
  <c r="N17" i="44"/>
  <c r="C17" i="44"/>
  <c r="C18" i="44" s="1"/>
  <c r="C19" i="44" s="1"/>
  <c r="C20" i="44" s="1"/>
  <c r="C21" i="44" s="1"/>
  <c r="C22" i="44" s="1"/>
  <c r="C23" i="44" s="1"/>
  <c r="C24" i="44" s="1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42" i="44" s="1"/>
  <c r="C43" i="44" s="1"/>
  <c r="C44" i="44" s="1"/>
  <c r="C45" i="44" s="1"/>
  <c r="C46" i="44" s="1"/>
  <c r="C47" i="44" s="1"/>
  <c r="C48" i="44" s="1"/>
  <c r="C49" i="44" s="1"/>
  <c r="C50" i="44" s="1"/>
  <c r="C51" i="44" s="1"/>
  <c r="C52" i="44" s="1"/>
  <c r="C53" i="44" s="1"/>
  <c r="C54" i="44" s="1"/>
  <c r="C55" i="44" s="1"/>
  <c r="C56" i="44" s="1"/>
  <c r="C57" i="44" s="1"/>
  <c r="C58" i="44" s="1"/>
  <c r="C59" i="44" s="1"/>
  <c r="C60" i="44" s="1"/>
  <c r="C61" i="44" s="1"/>
  <c r="C62" i="44" s="1"/>
  <c r="C63" i="44" s="1"/>
  <c r="C64" i="44" s="1"/>
  <c r="C65" i="44" s="1"/>
  <c r="C66" i="44" s="1"/>
  <c r="C67" i="44" s="1"/>
  <c r="C68" i="44" s="1"/>
  <c r="C69" i="44" s="1"/>
  <c r="C70" i="44" s="1"/>
  <c r="C71" i="44" s="1"/>
  <c r="C72" i="44" s="1"/>
  <c r="K11" i="44"/>
  <c r="I11" i="44"/>
  <c r="D90" i="44"/>
  <c r="P1" i="44"/>
  <c r="P83" i="44" s="1"/>
  <c r="P154" i="43"/>
  <c r="O154" i="43"/>
  <c r="M154" i="43"/>
  <c r="J154" i="43"/>
  <c r="P153" i="43"/>
  <c r="O153" i="43"/>
  <c r="M153" i="43"/>
  <c r="J153" i="43"/>
  <c r="P152" i="43"/>
  <c r="O152" i="43"/>
  <c r="M152" i="43"/>
  <c r="J152" i="43"/>
  <c r="P151" i="43"/>
  <c r="O151" i="43"/>
  <c r="M151" i="43"/>
  <c r="J151" i="43"/>
  <c r="P150" i="43"/>
  <c r="O150" i="43"/>
  <c r="M150" i="43"/>
  <c r="J150" i="43"/>
  <c r="P149" i="43"/>
  <c r="O149" i="43"/>
  <c r="M149" i="43"/>
  <c r="J149" i="43"/>
  <c r="P148" i="43"/>
  <c r="O148" i="43"/>
  <c r="M148" i="43"/>
  <c r="J148" i="43"/>
  <c r="P147" i="43"/>
  <c r="O147" i="43"/>
  <c r="M147" i="43"/>
  <c r="J147" i="43"/>
  <c r="P146" i="43"/>
  <c r="O146" i="43"/>
  <c r="M146" i="43"/>
  <c r="J146" i="43"/>
  <c r="P145" i="43"/>
  <c r="O145" i="43"/>
  <c r="M145" i="43"/>
  <c r="J145" i="43"/>
  <c r="P144" i="43"/>
  <c r="O144" i="43"/>
  <c r="M144" i="43"/>
  <c r="J144" i="43"/>
  <c r="P143" i="43"/>
  <c r="O143" i="43"/>
  <c r="M143" i="43"/>
  <c r="J143" i="43"/>
  <c r="P142" i="43"/>
  <c r="O142" i="43"/>
  <c r="M142" i="43"/>
  <c r="J142" i="43"/>
  <c r="P141" i="43"/>
  <c r="O141" i="43"/>
  <c r="M141" i="43"/>
  <c r="J141" i="43"/>
  <c r="P140" i="43"/>
  <c r="O140" i="43"/>
  <c r="M140" i="43"/>
  <c r="J140" i="43"/>
  <c r="P139" i="43"/>
  <c r="O139" i="43"/>
  <c r="M139" i="43"/>
  <c r="J139" i="43"/>
  <c r="P138" i="43"/>
  <c r="O138" i="43"/>
  <c r="M138" i="43"/>
  <c r="J138" i="43"/>
  <c r="P137" i="43"/>
  <c r="O137" i="43"/>
  <c r="M137" i="43"/>
  <c r="J137" i="43"/>
  <c r="P136" i="43"/>
  <c r="O136" i="43"/>
  <c r="M136" i="43"/>
  <c r="J136" i="43"/>
  <c r="P135" i="43"/>
  <c r="O135" i="43"/>
  <c r="M135" i="43"/>
  <c r="J135" i="43"/>
  <c r="P134" i="43"/>
  <c r="O134" i="43"/>
  <c r="M134" i="43"/>
  <c r="J134" i="43"/>
  <c r="P133" i="43"/>
  <c r="O133" i="43"/>
  <c r="M133" i="43"/>
  <c r="J133" i="43"/>
  <c r="P132" i="43"/>
  <c r="O132" i="43"/>
  <c r="M132" i="43"/>
  <c r="J132" i="43"/>
  <c r="P131" i="43"/>
  <c r="O131" i="43"/>
  <c r="M131" i="43"/>
  <c r="J131" i="43"/>
  <c r="O130" i="43"/>
  <c r="M130" i="43"/>
  <c r="O129" i="43"/>
  <c r="M129" i="43"/>
  <c r="O128" i="43"/>
  <c r="M128" i="43"/>
  <c r="O127" i="43"/>
  <c r="M127" i="43"/>
  <c r="O126" i="43"/>
  <c r="M126" i="43"/>
  <c r="O125" i="43"/>
  <c r="M125" i="43"/>
  <c r="O124" i="43"/>
  <c r="M124" i="43"/>
  <c r="O123" i="43"/>
  <c r="M123" i="43"/>
  <c r="O122" i="43"/>
  <c r="M122" i="43"/>
  <c r="O121" i="43"/>
  <c r="M121" i="43"/>
  <c r="O120" i="43"/>
  <c r="M120" i="43"/>
  <c r="O119" i="43"/>
  <c r="M119" i="43"/>
  <c r="O118" i="43"/>
  <c r="M118" i="43"/>
  <c r="O117" i="43"/>
  <c r="M117" i="43"/>
  <c r="O116" i="43"/>
  <c r="M116" i="43"/>
  <c r="O115" i="43"/>
  <c r="M115" i="43"/>
  <c r="O114" i="43"/>
  <c r="M114" i="43"/>
  <c r="O113" i="43"/>
  <c r="M113" i="43"/>
  <c r="O112" i="43"/>
  <c r="M112" i="43"/>
  <c r="O111" i="43"/>
  <c r="M111" i="43"/>
  <c r="O110" i="43"/>
  <c r="M110" i="43"/>
  <c r="O109" i="43"/>
  <c r="M109" i="43"/>
  <c r="O108" i="43"/>
  <c r="M108" i="43"/>
  <c r="O107" i="43"/>
  <c r="M107" i="43"/>
  <c r="O106" i="43"/>
  <c r="M106" i="43"/>
  <c r="O105" i="43"/>
  <c r="M105" i="43"/>
  <c r="O104" i="43"/>
  <c r="M104" i="43"/>
  <c r="O103" i="43"/>
  <c r="M103" i="43"/>
  <c r="O101" i="43"/>
  <c r="O100" i="43"/>
  <c r="C99" i="43"/>
  <c r="D96" i="43"/>
  <c r="L93" i="43"/>
  <c r="J93" i="43"/>
  <c r="D91" i="43"/>
  <c r="D89" i="43"/>
  <c r="N72" i="43"/>
  <c r="L72" i="43"/>
  <c r="N71" i="43"/>
  <c r="L71" i="43"/>
  <c r="N70" i="43"/>
  <c r="L70" i="43"/>
  <c r="N69" i="43"/>
  <c r="L69" i="43"/>
  <c r="N68" i="43"/>
  <c r="L68" i="43"/>
  <c r="N67" i="43"/>
  <c r="L67" i="43"/>
  <c r="N66" i="43"/>
  <c r="L66" i="43"/>
  <c r="N65" i="43"/>
  <c r="L65" i="43"/>
  <c r="N64" i="43"/>
  <c r="L64" i="43"/>
  <c r="N63" i="43"/>
  <c r="L63" i="43"/>
  <c r="N62" i="43"/>
  <c r="L62" i="43"/>
  <c r="N61" i="43"/>
  <c r="L61" i="43"/>
  <c r="N60" i="43"/>
  <c r="L60" i="43"/>
  <c r="N59" i="43"/>
  <c r="L59" i="43"/>
  <c r="N58" i="43"/>
  <c r="L58" i="43"/>
  <c r="N57" i="43"/>
  <c r="L57" i="43"/>
  <c r="N56" i="43"/>
  <c r="L56" i="43"/>
  <c r="N55" i="43"/>
  <c r="L55" i="43"/>
  <c r="N54" i="43"/>
  <c r="L54" i="43"/>
  <c r="N53" i="43"/>
  <c r="L53" i="43"/>
  <c r="N52" i="43"/>
  <c r="L52" i="43"/>
  <c r="N51" i="43"/>
  <c r="L51" i="43"/>
  <c r="N50" i="43"/>
  <c r="L50" i="43"/>
  <c r="N49" i="43"/>
  <c r="L49" i="43"/>
  <c r="N48" i="43"/>
  <c r="L48" i="43"/>
  <c r="N47" i="43"/>
  <c r="L47" i="43"/>
  <c r="N46" i="43"/>
  <c r="L46" i="43"/>
  <c r="N45" i="43"/>
  <c r="L45" i="43"/>
  <c r="N44" i="43"/>
  <c r="L44" i="43"/>
  <c r="N43" i="43"/>
  <c r="L43" i="43"/>
  <c r="N42" i="43"/>
  <c r="L42" i="43"/>
  <c r="N41" i="43"/>
  <c r="L41" i="43"/>
  <c r="N40" i="43"/>
  <c r="L40" i="43"/>
  <c r="N39" i="43"/>
  <c r="L39" i="43"/>
  <c r="N38" i="43"/>
  <c r="L38" i="43"/>
  <c r="N37" i="43"/>
  <c r="L37" i="43"/>
  <c r="N36" i="43"/>
  <c r="L36" i="43"/>
  <c r="N35" i="43"/>
  <c r="L35" i="43"/>
  <c r="N34" i="43"/>
  <c r="L34" i="43"/>
  <c r="N33" i="43"/>
  <c r="L33" i="43"/>
  <c r="N32" i="43"/>
  <c r="L32" i="43"/>
  <c r="N31" i="43"/>
  <c r="L31" i="43"/>
  <c r="N30" i="43"/>
  <c r="L30" i="43"/>
  <c r="N29" i="43"/>
  <c r="L29" i="43"/>
  <c r="N28" i="43"/>
  <c r="L28" i="43"/>
  <c r="N27" i="43"/>
  <c r="L27" i="43"/>
  <c r="N26" i="43"/>
  <c r="L26" i="43"/>
  <c r="N25" i="43"/>
  <c r="L25" i="43"/>
  <c r="N24" i="43"/>
  <c r="L24" i="43"/>
  <c r="N23" i="43"/>
  <c r="L23" i="43"/>
  <c r="N21" i="43"/>
  <c r="N20" i="43"/>
  <c r="N19" i="43"/>
  <c r="N18" i="43"/>
  <c r="N17" i="43"/>
  <c r="L17" i="43"/>
  <c r="C17" i="43"/>
  <c r="K11" i="43"/>
  <c r="I11" i="43"/>
  <c r="D8" i="43"/>
  <c r="D90" i="43" s="1"/>
  <c r="P1" i="43"/>
  <c r="P83" i="43" s="1"/>
  <c r="M17" i="42"/>
  <c r="N17" i="42" s="1"/>
  <c r="K17" i="42"/>
  <c r="L17" i="42" s="1"/>
  <c r="M17" i="41"/>
  <c r="N17" i="41" s="1"/>
  <c r="K17" i="41"/>
  <c r="L17" i="41" s="1"/>
  <c r="M17" i="40"/>
  <c r="N17" i="40" s="1"/>
  <c r="K17" i="40"/>
  <c r="L17" i="40" s="1"/>
  <c r="N99" i="39"/>
  <c r="L99" i="39"/>
  <c r="M18" i="39"/>
  <c r="K18" i="39"/>
  <c r="L18" i="39" s="1"/>
  <c r="N99" i="38"/>
  <c r="O99" i="38" s="1"/>
  <c r="L99" i="38"/>
  <c r="M18" i="38"/>
  <c r="N18" i="38" s="1"/>
  <c r="K18" i="38"/>
  <c r="L18" i="38" s="1"/>
  <c r="N99" i="37"/>
  <c r="O99" i="37" s="1"/>
  <c r="L99" i="37"/>
  <c r="M18" i="37"/>
  <c r="N18" i="37" s="1"/>
  <c r="K18" i="37"/>
  <c r="L18" i="37" s="1"/>
  <c r="N102" i="31"/>
  <c r="O102" i="31" s="1"/>
  <c r="L102" i="31"/>
  <c r="M102" i="31" s="1"/>
  <c r="M21" i="31"/>
  <c r="N21" i="31" s="1"/>
  <c r="K21" i="31"/>
  <c r="L21" i="31" s="1"/>
  <c r="N101" i="30"/>
  <c r="O101" i="30" s="1"/>
  <c r="L101" i="30"/>
  <c r="M101" i="30" s="1"/>
  <c r="M20" i="30"/>
  <c r="N20" i="30" s="1"/>
  <c r="K20" i="30"/>
  <c r="N102" i="29"/>
  <c r="O102" i="29" s="1"/>
  <c r="L102" i="29"/>
  <c r="M102" i="29" s="1"/>
  <c r="M21" i="29"/>
  <c r="N21" i="29" s="1"/>
  <c r="K21" i="29"/>
  <c r="L21" i="29" s="1"/>
  <c r="N102" i="28"/>
  <c r="O102" i="28" s="1"/>
  <c r="L102" i="28"/>
  <c r="M102" i="28" s="1"/>
  <c r="M21" i="28"/>
  <c r="N21" i="28" s="1"/>
  <c r="K21" i="28"/>
  <c r="L21" i="28" s="1"/>
  <c r="N103" i="27"/>
  <c r="O103" i="27" s="1"/>
  <c r="P103" i="27" s="1"/>
  <c r="L103" i="27"/>
  <c r="M103" i="27" s="1"/>
  <c r="M22" i="27"/>
  <c r="N22" i="27" s="1"/>
  <c r="K22" i="27"/>
  <c r="L22" i="27" s="1"/>
  <c r="N106" i="25"/>
  <c r="O106" i="25" s="1"/>
  <c r="L106" i="25"/>
  <c r="M106" i="25" s="1"/>
  <c r="M25" i="25"/>
  <c r="N25" i="25" s="1"/>
  <c r="K25" i="25"/>
  <c r="L25" i="25" s="1"/>
  <c r="N104" i="24"/>
  <c r="O104" i="24" s="1"/>
  <c r="L104" i="24"/>
  <c r="M104" i="24" s="1"/>
  <c r="M23" i="24"/>
  <c r="N23" i="24" s="1"/>
  <c r="K23" i="24"/>
  <c r="L23" i="24" s="1"/>
  <c r="N105" i="23"/>
  <c r="O105" i="23"/>
  <c r="L105" i="23"/>
  <c r="M105" i="23" s="1"/>
  <c r="M24" i="23"/>
  <c r="N24" i="23" s="1"/>
  <c r="K24" i="23"/>
  <c r="L24" i="23" s="1"/>
  <c r="N106" i="22"/>
  <c r="O106" i="22"/>
  <c r="L106" i="22"/>
  <c r="M106" i="22" s="1"/>
  <c r="M25" i="22"/>
  <c r="N25" i="22" s="1"/>
  <c r="K25" i="22"/>
  <c r="L25" i="22" s="1"/>
  <c r="N109" i="11"/>
  <c r="O109" i="11" s="1"/>
  <c r="L109" i="11"/>
  <c r="M109" i="11" s="1"/>
  <c r="M28" i="11"/>
  <c r="N28" i="11" s="1"/>
  <c r="K28" i="11"/>
  <c r="L28" i="11" s="1"/>
  <c r="N110" i="10"/>
  <c r="O110" i="10" s="1"/>
  <c r="L110" i="10"/>
  <c r="M110" i="10" s="1"/>
  <c r="M29" i="10"/>
  <c r="N29" i="10" s="1"/>
  <c r="K29" i="10"/>
  <c r="L29" i="10" s="1"/>
  <c r="N109" i="9"/>
  <c r="O109" i="9" s="1"/>
  <c r="L109" i="9"/>
  <c r="M109" i="9" s="1"/>
  <c r="M28" i="9"/>
  <c r="N28" i="9" s="1"/>
  <c r="K28" i="9"/>
  <c r="L28" i="9" s="1"/>
  <c r="N108" i="8"/>
  <c r="O108" i="8" s="1"/>
  <c r="L108" i="8"/>
  <c r="M108" i="8" s="1"/>
  <c r="M27" i="8"/>
  <c r="N27" i="8" s="1"/>
  <c r="K27" i="8"/>
  <c r="L27" i="8" s="1"/>
  <c r="N110" i="7"/>
  <c r="O110" i="7"/>
  <c r="L110" i="7"/>
  <c r="M110" i="7" s="1"/>
  <c r="M29" i="7"/>
  <c r="N29" i="7" s="1"/>
  <c r="K29" i="7"/>
  <c r="L29" i="7" s="1"/>
  <c r="N108" i="6"/>
  <c r="O108" i="6" s="1"/>
  <c r="L108" i="6"/>
  <c r="M108" i="6" s="1"/>
  <c r="M27" i="6"/>
  <c r="N27" i="6" s="1"/>
  <c r="K27" i="6"/>
  <c r="L27" i="6" s="1"/>
  <c r="N107" i="5"/>
  <c r="O107" i="5" s="1"/>
  <c r="L107" i="5"/>
  <c r="M107" i="5" s="1"/>
  <c r="M26" i="5"/>
  <c r="N26" i="5" s="1"/>
  <c r="K26" i="5"/>
  <c r="L26" i="5" s="1"/>
  <c r="N107" i="4"/>
  <c r="O107" i="4" s="1"/>
  <c r="L107" i="4"/>
  <c r="M107" i="4" s="1"/>
  <c r="M26" i="4"/>
  <c r="N26" i="4" s="1"/>
  <c r="K26" i="4"/>
  <c r="L26" i="4" s="1"/>
  <c r="N107" i="3"/>
  <c r="O107" i="3" s="1"/>
  <c r="L107" i="3"/>
  <c r="M107" i="3" s="1"/>
  <c r="M26" i="3"/>
  <c r="N26" i="3" s="1"/>
  <c r="K26" i="3"/>
  <c r="L26" i="3" s="1"/>
  <c r="D92" i="6"/>
  <c r="T14" i="17"/>
  <c r="M26" i="6"/>
  <c r="N26" i="6" s="1"/>
  <c r="K26" i="6"/>
  <c r="L26" i="6" s="1"/>
  <c r="O26" i="6" s="1"/>
  <c r="M17" i="38"/>
  <c r="K17" i="38"/>
  <c r="L17" i="38" s="1"/>
  <c r="M17" i="39"/>
  <c r="K17" i="39"/>
  <c r="N101" i="31"/>
  <c r="O101" i="31" s="1"/>
  <c r="L101" i="31"/>
  <c r="M101" i="31" s="1"/>
  <c r="M20" i="31"/>
  <c r="N20" i="31"/>
  <c r="K20" i="31"/>
  <c r="M17" i="37"/>
  <c r="N17" i="37" s="1"/>
  <c r="K17" i="37"/>
  <c r="L17" i="37" s="1"/>
  <c r="W41" i="17"/>
  <c r="P41" i="17"/>
  <c r="W40" i="17"/>
  <c r="P40" i="17"/>
  <c r="M19" i="30"/>
  <c r="N19" i="30" s="1"/>
  <c r="K19" i="30"/>
  <c r="L19" i="30" s="1"/>
  <c r="N100" i="30"/>
  <c r="O100" i="30" s="1"/>
  <c r="L100" i="30"/>
  <c r="M100" i="30" s="1"/>
  <c r="P100" i="30" s="1"/>
  <c r="M20" i="29"/>
  <c r="N20" i="29" s="1"/>
  <c r="O20" i="29" s="1"/>
  <c r="K20" i="29"/>
  <c r="L20" i="29" s="1"/>
  <c r="N101" i="29"/>
  <c r="O101" i="29"/>
  <c r="L101" i="29"/>
  <c r="M101" i="29" s="1"/>
  <c r="N101" i="28"/>
  <c r="O101" i="28" s="1"/>
  <c r="L101" i="28"/>
  <c r="M101" i="28" s="1"/>
  <c r="M20" i="28"/>
  <c r="N20" i="28" s="1"/>
  <c r="K20" i="28"/>
  <c r="L20" i="28" s="1"/>
  <c r="N102" i="27"/>
  <c r="O102" i="27" s="1"/>
  <c r="L102" i="27"/>
  <c r="M102" i="27" s="1"/>
  <c r="P102" i="27" s="1"/>
  <c r="M21" i="27"/>
  <c r="N21" i="27" s="1"/>
  <c r="K21" i="27"/>
  <c r="L21" i="27"/>
  <c r="N105" i="25"/>
  <c r="O105" i="25" s="1"/>
  <c r="L105" i="25"/>
  <c r="M105" i="25" s="1"/>
  <c r="M24" i="25"/>
  <c r="N24" i="25" s="1"/>
  <c r="K24" i="25"/>
  <c r="L24" i="25" s="1"/>
  <c r="N103" i="24"/>
  <c r="O103" i="24" s="1"/>
  <c r="L103" i="24"/>
  <c r="M103" i="24" s="1"/>
  <c r="M22" i="24"/>
  <c r="N22" i="24" s="1"/>
  <c r="K22" i="24"/>
  <c r="L22" i="24" s="1"/>
  <c r="N104" i="23"/>
  <c r="O104" i="23" s="1"/>
  <c r="L104" i="23"/>
  <c r="M104" i="23" s="1"/>
  <c r="M23" i="23"/>
  <c r="N23" i="23" s="1"/>
  <c r="K23" i="23"/>
  <c r="L23" i="23" s="1"/>
  <c r="N105" i="22"/>
  <c r="O105" i="22" s="1"/>
  <c r="L105" i="22"/>
  <c r="M105" i="22" s="1"/>
  <c r="M24" i="22"/>
  <c r="N24" i="22" s="1"/>
  <c r="K24" i="22"/>
  <c r="L24" i="22" s="1"/>
  <c r="N108" i="11"/>
  <c r="O108" i="11" s="1"/>
  <c r="L108" i="11"/>
  <c r="M108" i="11" s="1"/>
  <c r="M27" i="11"/>
  <c r="N27" i="11" s="1"/>
  <c r="O27" i="11" s="1"/>
  <c r="K27" i="11"/>
  <c r="L27" i="11" s="1"/>
  <c r="N109" i="10"/>
  <c r="O109" i="10" s="1"/>
  <c r="P109" i="10" s="1"/>
  <c r="L109" i="10"/>
  <c r="M109" i="10" s="1"/>
  <c r="M28" i="10"/>
  <c r="N28" i="10"/>
  <c r="K28" i="10"/>
  <c r="L28" i="10" s="1"/>
  <c r="O28" i="10" s="1"/>
  <c r="N108" i="9"/>
  <c r="O108" i="9"/>
  <c r="L108" i="9"/>
  <c r="M108" i="9" s="1"/>
  <c r="M27" i="9"/>
  <c r="N27" i="9" s="1"/>
  <c r="K27" i="9"/>
  <c r="L27" i="9" s="1"/>
  <c r="N107" i="8"/>
  <c r="O107" i="8" s="1"/>
  <c r="L107" i="8"/>
  <c r="M107" i="8" s="1"/>
  <c r="M26" i="8"/>
  <c r="N26" i="8" s="1"/>
  <c r="K26" i="8"/>
  <c r="L26" i="8" s="1"/>
  <c r="N109" i="7"/>
  <c r="O109" i="7" s="1"/>
  <c r="L109" i="7"/>
  <c r="M109" i="7" s="1"/>
  <c r="M28" i="7"/>
  <c r="N28" i="7" s="1"/>
  <c r="K28" i="7"/>
  <c r="L28" i="7" s="1"/>
  <c r="N107" i="6"/>
  <c r="O107" i="6" s="1"/>
  <c r="L107" i="6"/>
  <c r="M107" i="6" s="1"/>
  <c r="N106" i="5"/>
  <c r="O106" i="5" s="1"/>
  <c r="L106" i="5"/>
  <c r="M106" i="5" s="1"/>
  <c r="M25" i="5"/>
  <c r="N25" i="5" s="1"/>
  <c r="K25" i="5"/>
  <c r="L25" i="5" s="1"/>
  <c r="N106" i="4"/>
  <c r="O106" i="4"/>
  <c r="L106" i="4"/>
  <c r="M106" i="4" s="1"/>
  <c r="P106" i="4" s="1"/>
  <c r="M25" i="4"/>
  <c r="N25" i="4" s="1"/>
  <c r="K25" i="4"/>
  <c r="L25" i="4" s="1"/>
  <c r="N106" i="3"/>
  <c r="O106" i="3" s="1"/>
  <c r="L106" i="3"/>
  <c r="M106" i="3" s="1"/>
  <c r="M25" i="3"/>
  <c r="N25" i="3" s="1"/>
  <c r="K25" i="3"/>
  <c r="L25" i="3" s="1"/>
  <c r="P154" i="42"/>
  <c r="O154" i="42"/>
  <c r="M154" i="42"/>
  <c r="J154" i="42"/>
  <c r="P153" i="42"/>
  <c r="O153" i="42"/>
  <c r="M153" i="42"/>
  <c r="J153" i="42"/>
  <c r="P152" i="42"/>
  <c r="O152" i="42"/>
  <c r="M152" i="42"/>
  <c r="J152" i="42"/>
  <c r="P151" i="42"/>
  <c r="O151" i="42"/>
  <c r="M151" i="42"/>
  <c r="J151" i="42"/>
  <c r="P150" i="42"/>
  <c r="O150" i="42"/>
  <c r="M150" i="42"/>
  <c r="J150" i="42"/>
  <c r="P149" i="42"/>
  <c r="O149" i="42"/>
  <c r="M149" i="42"/>
  <c r="J149" i="42"/>
  <c r="P148" i="42"/>
  <c r="O148" i="42"/>
  <c r="M148" i="42"/>
  <c r="J148" i="42"/>
  <c r="P147" i="42"/>
  <c r="O147" i="42"/>
  <c r="M147" i="42"/>
  <c r="J147" i="42"/>
  <c r="P146" i="42"/>
  <c r="O146" i="42"/>
  <c r="M146" i="42"/>
  <c r="J146" i="42"/>
  <c r="P145" i="42"/>
  <c r="O145" i="42"/>
  <c r="M145" i="42"/>
  <c r="J145" i="42"/>
  <c r="P144" i="42"/>
  <c r="O144" i="42"/>
  <c r="M144" i="42"/>
  <c r="J144" i="42"/>
  <c r="P143" i="42"/>
  <c r="O143" i="42"/>
  <c r="M143" i="42"/>
  <c r="J143" i="42"/>
  <c r="P142" i="42"/>
  <c r="O142" i="42"/>
  <c r="M142" i="42"/>
  <c r="J142" i="42"/>
  <c r="P141" i="42"/>
  <c r="O141" i="42"/>
  <c r="M141" i="42"/>
  <c r="J141" i="42"/>
  <c r="P140" i="42"/>
  <c r="O140" i="42"/>
  <c r="M140" i="42"/>
  <c r="J140" i="42"/>
  <c r="P139" i="42"/>
  <c r="O139" i="42"/>
  <c r="M139" i="42"/>
  <c r="J139" i="42"/>
  <c r="P138" i="42"/>
  <c r="O138" i="42"/>
  <c r="M138" i="42"/>
  <c r="J138" i="42"/>
  <c r="P137" i="42"/>
  <c r="O137" i="42"/>
  <c r="M137" i="42"/>
  <c r="J137" i="42"/>
  <c r="P136" i="42"/>
  <c r="O136" i="42"/>
  <c r="M136" i="42"/>
  <c r="J136" i="42"/>
  <c r="P135" i="42"/>
  <c r="O135" i="42"/>
  <c r="M135" i="42"/>
  <c r="J135" i="42"/>
  <c r="P134" i="42"/>
  <c r="O134" i="42"/>
  <c r="M134" i="42"/>
  <c r="J134" i="42"/>
  <c r="P133" i="42"/>
  <c r="O133" i="42"/>
  <c r="M133" i="42"/>
  <c r="J133" i="42"/>
  <c r="P132" i="42"/>
  <c r="O132" i="42"/>
  <c r="M132" i="42"/>
  <c r="J132" i="42"/>
  <c r="P131" i="42"/>
  <c r="O131" i="42"/>
  <c r="M131" i="42"/>
  <c r="J131" i="42"/>
  <c r="O130" i="42"/>
  <c r="M130" i="42"/>
  <c r="O129" i="42"/>
  <c r="M129" i="42"/>
  <c r="O128" i="42"/>
  <c r="M128" i="42"/>
  <c r="O127" i="42"/>
  <c r="M127" i="42"/>
  <c r="O126" i="42"/>
  <c r="M126" i="42"/>
  <c r="O125" i="42"/>
  <c r="M125" i="42"/>
  <c r="O124" i="42"/>
  <c r="M124" i="42"/>
  <c r="O123" i="42"/>
  <c r="M123" i="42"/>
  <c r="O122" i="42"/>
  <c r="M122" i="42"/>
  <c r="O121" i="42"/>
  <c r="M121" i="42"/>
  <c r="O120" i="42"/>
  <c r="M120" i="42"/>
  <c r="O119" i="42"/>
  <c r="M119" i="42"/>
  <c r="O118" i="42"/>
  <c r="M118" i="42"/>
  <c r="O117" i="42"/>
  <c r="M117" i="42"/>
  <c r="O116" i="42"/>
  <c r="M116" i="42"/>
  <c r="O115" i="42"/>
  <c r="M115" i="42"/>
  <c r="O114" i="42"/>
  <c r="M114" i="42"/>
  <c r="O113" i="42"/>
  <c r="M113" i="42"/>
  <c r="O112" i="42"/>
  <c r="M112" i="42"/>
  <c r="O111" i="42"/>
  <c r="M111" i="42"/>
  <c r="O110" i="42"/>
  <c r="M110" i="42"/>
  <c r="O109" i="42"/>
  <c r="M109" i="42"/>
  <c r="O108" i="42"/>
  <c r="M108" i="42"/>
  <c r="O107" i="42"/>
  <c r="M107" i="42"/>
  <c r="O106" i="42"/>
  <c r="M106" i="42"/>
  <c r="O105" i="42"/>
  <c r="M105" i="42"/>
  <c r="O104" i="42"/>
  <c r="M104" i="42"/>
  <c r="O103" i="42"/>
  <c r="M103" i="42"/>
  <c r="O101" i="42"/>
  <c r="O100" i="42"/>
  <c r="C99" i="42"/>
  <c r="D96" i="42"/>
  <c r="L93" i="42"/>
  <c r="J93" i="42"/>
  <c r="D91" i="42"/>
  <c r="D89" i="42"/>
  <c r="N72" i="42"/>
  <c r="L72" i="42"/>
  <c r="N71" i="42"/>
  <c r="L71" i="42"/>
  <c r="N70" i="42"/>
  <c r="L70" i="42"/>
  <c r="N69" i="42"/>
  <c r="L69" i="42"/>
  <c r="N68" i="42"/>
  <c r="L68" i="42"/>
  <c r="N67" i="42"/>
  <c r="L67" i="42"/>
  <c r="N66" i="42"/>
  <c r="L66" i="42"/>
  <c r="N65" i="42"/>
  <c r="L65" i="42"/>
  <c r="N64" i="42"/>
  <c r="L64" i="42"/>
  <c r="N63" i="42"/>
  <c r="L63" i="42"/>
  <c r="N62" i="42"/>
  <c r="L62" i="42"/>
  <c r="N61" i="42"/>
  <c r="L61" i="42"/>
  <c r="N60" i="42"/>
  <c r="L60" i="42"/>
  <c r="N59" i="42"/>
  <c r="L59" i="42"/>
  <c r="N58" i="42"/>
  <c r="L58" i="42"/>
  <c r="N57" i="42"/>
  <c r="L57" i="42"/>
  <c r="N56" i="42"/>
  <c r="L56" i="42"/>
  <c r="N55" i="42"/>
  <c r="L55" i="42"/>
  <c r="N54" i="42"/>
  <c r="L54" i="42"/>
  <c r="N53" i="42"/>
  <c r="L53" i="42"/>
  <c r="N52" i="42"/>
  <c r="L52" i="42"/>
  <c r="N51" i="42"/>
  <c r="L51" i="42"/>
  <c r="N50" i="42"/>
  <c r="L50" i="42"/>
  <c r="N49" i="42"/>
  <c r="L49" i="42"/>
  <c r="N48" i="42"/>
  <c r="L48" i="42"/>
  <c r="N47" i="42"/>
  <c r="L47" i="42"/>
  <c r="N46" i="42"/>
  <c r="L46" i="42"/>
  <c r="N45" i="42"/>
  <c r="L45" i="42"/>
  <c r="N44" i="42"/>
  <c r="L44" i="42"/>
  <c r="N43" i="42"/>
  <c r="L43" i="42"/>
  <c r="N42" i="42"/>
  <c r="L42" i="42"/>
  <c r="N41" i="42"/>
  <c r="L41" i="42"/>
  <c r="N40" i="42"/>
  <c r="L40" i="42"/>
  <c r="N39" i="42"/>
  <c r="L39" i="42"/>
  <c r="N38" i="42"/>
  <c r="L38" i="42"/>
  <c r="N37" i="42"/>
  <c r="L37" i="42"/>
  <c r="N36" i="42"/>
  <c r="L36" i="42"/>
  <c r="N35" i="42"/>
  <c r="L35" i="42"/>
  <c r="N34" i="42"/>
  <c r="L34" i="42"/>
  <c r="N33" i="42"/>
  <c r="L33" i="42"/>
  <c r="N32" i="42"/>
  <c r="L32" i="42"/>
  <c r="N31" i="42"/>
  <c r="L31" i="42"/>
  <c r="N30" i="42"/>
  <c r="L30" i="42"/>
  <c r="N29" i="42"/>
  <c r="L29" i="42"/>
  <c r="N28" i="42"/>
  <c r="L28" i="42"/>
  <c r="N27" i="42"/>
  <c r="L27" i="42"/>
  <c r="N26" i="42"/>
  <c r="L26" i="42"/>
  <c r="N25" i="42"/>
  <c r="L25" i="42"/>
  <c r="N24" i="42"/>
  <c r="L24" i="42"/>
  <c r="N23" i="42"/>
  <c r="L23" i="42"/>
  <c r="N21" i="42"/>
  <c r="N20" i="42"/>
  <c r="N19" i="42"/>
  <c r="N18" i="42"/>
  <c r="C17" i="42"/>
  <c r="K11" i="42"/>
  <c r="I11" i="42"/>
  <c r="D8" i="42"/>
  <c r="D90" i="42" s="1"/>
  <c r="P1" i="42"/>
  <c r="P83" i="42" s="1"/>
  <c r="P154" i="41"/>
  <c r="O154" i="41"/>
  <c r="M154" i="41"/>
  <c r="J154" i="41"/>
  <c r="P153" i="41"/>
  <c r="O153" i="41"/>
  <c r="M153" i="41"/>
  <c r="J153" i="41"/>
  <c r="P152" i="41"/>
  <c r="O152" i="41"/>
  <c r="M152" i="41"/>
  <c r="J152" i="41"/>
  <c r="P151" i="41"/>
  <c r="O151" i="41"/>
  <c r="M151" i="41"/>
  <c r="J151" i="41"/>
  <c r="P150" i="41"/>
  <c r="O150" i="41"/>
  <c r="M150" i="41"/>
  <c r="J150" i="41"/>
  <c r="P149" i="41"/>
  <c r="O149" i="41"/>
  <c r="M149" i="41"/>
  <c r="J149" i="41"/>
  <c r="P148" i="41"/>
  <c r="O148" i="41"/>
  <c r="M148" i="41"/>
  <c r="J148" i="41"/>
  <c r="P147" i="41"/>
  <c r="O147" i="41"/>
  <c r="M147" i="41"/>
  <c r="J147" i="41"/>
  <c r="P146" i="41"/>
  <c r="O146" i="41"/>
  <c r="M146" i="41"/>
  <c r="J146" i="41"/>
  <c r="P145" i="41"/>
  <c r="O145" i="41"/>
  <c r="M145" i="41"/>
  <c r="J145" i="41"/>
  <c r="P144" i="41"/>
  <c r="O144" i="41"/>
  <c r="M144" i="41"/>
  <c r="J144" i="41"/>
  <c r="P143" i="41"/>
  <c r="O143" i="41"/>
  <c r="M143" i="41"/>
  <c r="J143" i="41"/>
  <c r="P142" i="41"/>
  <c r="O142" i="41"/>
  <c r="M142" i="41"/>
  <c r="J142" i="41"/>
  <c r="P141" i="41"/>
  <c r="O141" i="41"/>
  <c r="M141" i="41"/>
  <c r="J141" i="41"/>
  <c r="P140" i="41"/>
  <c r="O140" i="41"/>
  <c r="M140" i="41"/>
  <c r="J140" i="41"/>
  <c r="P139" i="41"/>
  <c r="O139" i="41"/>
  <c r="M139" i="41"/>
  <c r="J139" i="41"/>
  <c r="P138" i="41"/>
  <c r="O138" i="41"/>
  <c r="M138" i="41"/>
  <c r="J138" i="41"/>
  <c r="P137" i="41"/>
  <c r="O137" i="41"/>
  <c r="M137" i="41"/>
  <c r="J137" i="41"/>
  <c r="P136" i="41"/>
  <c r="O136" i="41"/>
  <c r="M136" i="41"/>
  <c r="J136" i="41"/>
  <c r="P135" i="41"/>
  <c r="O135" i="41"/>
  <c r="M135" i="41"/>
  <c r="J135" i="41"/>
  <c r="P134" i="41"/>
  <c r="O134" i="41"/>
  <c r="M134" i="41"/>
  <c r="J134" i="41"/>
  <c r="P133" i="41"/>
  <c r="O133" i="41"/>
  <c r="M133" i="41"/>
  <c r="J133" i="41"/>
  <c r="P132" i="41"/>
  <c r="O132" i="41"/>
  <c r="M132" i="41"/>
  <c r="J132" i="41"/>
  <c r="P131" i="41"/>
  <c r="O131" i="41"/>
  <c r="M131" i="41"/>
  <c r="J131" i="41"/>
  <c r="O130" i="41"/>
  <c r="M130" i="41"/>
  <c r="O129" i="41"/>
  <c r="M129" i="41"/>
  <c r="O128" i="41"/>
  <c r="M128" i="41"/>
  <c r="O127" i="41"/>
  <c r="M127" i="41"/>
  <c r="O126" i="41"/>
  <c r="M126" i="41"/>
  <c r="O125" i="41"/>
  <c r="M125" i="41"/>
  <c r="O124" i="41"/>
  <c r="M124" i="41"/>
  <c r="O123" i="41"/>
  <c r="M123" i="41"/>
  <c r="O122" i="41"/>
  <c r="M122" i="41"/>
  <c r="O121" i="41"/>
  <c r="M121" i="41"/>
  <c r="O120" i="41"/>
  <c r="M120" i="41"/>
  <c r="O119" i="41"/>
  <c r="M119" i="41"/>
  <c r="O118" i="41"/>
  <c r="M118" i="41"/>
  <c r="O117" i="41"/>
  <c r="M117" i="41"/>
  <c r="O116" i="41"/>
  <c r="M116" i="41"/>
  <c r="O115" i="41"/>
  <c r="M115" i="41"/>
  <c r="O114" i="41"/>
  <c r="M114" i="41"/>
  <c r="O113" i="41"/>
  <c r="M113" i="41"/>
  <c r="O112" i="41"/>
  <c r="M112" i="41"/>
  <c r="O111" i="41"/>
  <c r="M111" i="41"/>
  <c r="O110" i="41"/>
  <c r="M110" i="41"/>
  <c r="O109" i="41"/>
  <c r="M109" i="41"/>
  <c r="O108" i="41"/>
  <c r="M108" i="41"/>
  <c r="O107" i="41"/>
  <c r="M107" i="41"/>
  <c r="O106" i="41"/>
  <c r="M106" i="41"/>
  <c r="O105" i="41"/>
  <c r="M105" i="41"/>
  <c r="O104" i="41"/>
  <c r="M104" i="41"/>
  <c r="O103" i="41"/>
  <c r="M103" i="41"/>
  <c r="O101" i="41"/>
  <c r="O100" i="41"/>
  <c r="C99" i="41"/>
  <c r="D96" i="41"/>
  <c r="L93" i="41"/>
  <c r="J93" i="41"/>
  <c r="D91" i="41"/>
  <c r="D89" i="41"/>
  <c r="N72" i="41"/>
  <c r="L72" i="41"/>
  <c r="N71" i="41"/>
  <c r="L71" i="41"/>
  <c r="N70" i="41"/>
  <c r="L70" i="41"/>
  <c r="N69" i="41"/>
  <c r="L69" i="41"/>
  <c r="N68" i="41"/>
  <c r="L68" i="41"/>
  <c r="N67" i="41"/>
  <c r="L67" i="41"/>
  <c r="N66" i="41"/>
  <c r="L66" i="41"/>
  <c r="N65" i="41"/>
  <c r="L65" i="41"/>
  <c r="N64" i="41"/>
  <c r="L64" i="41"/>
  <c r="N63" i="41"/>
  <c r="L63" i="41"/>
  <c r="N62" i="41"/>
  <c r="L62" i="41"/>
  <c r="N61" i="41"/>
  <c r="L61" i="41"/>
  <c r="N60" i="41"/>
  <c r="L60" i="41"/>
  <c r="N59" i="41"/>
  <c r="L59" i="41"/>
  <c r="N58" i="41"/>
  <c r="L58" i="41"/>
  <c r="N57" i="41"/>
  <c r="L57" i="41"/>
  <c r="N56" i="41"/>
  <c r="L56" i="41"/>
  <c r="N55" i="41"/>
  <c r="L55" i="41"/>
  <c r="N54" i="41"/>
  <c r="L54" i="41"/>
  <c r="N53" i="41"/>
  <c r="L53" i="41"/>
  <c r="N52" i="41"/>
  <c r="L52" i="41"/>
  <c r="N51" i="41"/>
  <c r="L51" i="41"/>
  <c r="N50" i="41"/>
  <c r="L50" i="41"/>
  <c r="N49" i="41"/>
  <c r="L49" i="41"/>
  <c r="N48" i="41"/>
  <c r="L48" i="41"/>
  <c r="N47" i="41"/>
  <c r="L47" i="41"/>
  <c r="N46" i="41"/>
  <c r="L46" i="41"/>
  <c r="N45" i="41"/>
  <c r="L45" i="41"/>
  <c r="N44" i="41"/>
  <c r="L44" i="41"/>
  <c r="N43" i="41"/>
  <c r="L43" i="41"/>
  <c r="N42" i="41"/>
  <c r="L42" i="41"/>
  <c r="N41" i="41"/>
  <c r="L41" i="41"/>
  <c r="N40" i="41"/>
  <c r="L40" i="41"/>
  <c r="N39" i="41"/>
  <c r="L39" i="41"/>
  <c r="N38" i="41"/>
  <c r="L38" i="41"/>
  <c r="N37" i="41"/>
  <c r="L37" i="41"/>
  <c r="N36" i="41"/>
  <c r="L36" i="41"/>
  <c r="N35" i="41"/>
  <c r="L35" i="41"/>
  <c r="N34" i="41"/>
  <c r="L34" i="41"/>
  <c r="N33" i="41"/>
  <c r="L33" i="41"/>
  <c r="N32" i="41"/>
  <c r="L32" i="41"/>
  <c r="N31" i="41"/>
  <c r="L31" i="41"/>
  <c r="N30" i="41"/>
  <c r="L30" i="41"/>
  <c r="N29" i="41"/>
  <c r="L29" i="41"/>
  <c r="N28" i="41"/>
  <c r="L28" i="41"/>
  <c r="N27" i="41"/>
  <c r="L27" i="41"/>
  <c r="N26" i="41"/>
  <c r="L26" i="41"/>
  <c r="N25" i="41"/>
  <c r="L25" i="41"/>
  <c r="N24" i="41"/>
  <c r="L24" i="41"/>
  <c r="N23" i="41"/>
  <c r="L23" i="41"/>
  <c r="N21" i="41"/>
  <c r="N20" i="41"/>
  <c r="N19" i="41"/>
  <c r="N18" i="41"/>
  <c r="C17" i="41"/>
  <c r="K11" i="41"/>
  <c r="I11" i="41"/>
  <c r="D8" i="41"/>
  <c r="D90" i="41" s="1"/>
  <c r="P1" i="41"/>
  <c r="P83" i="41" s="1"/>
  <c r="F66" i="2"/>
  <c r="C66" i="2"/>
  <c r="E17" i="1"/>
  <c r="F13" i="1"/>
  <c r="C80" i="1" s="1"/>
  <c r="F87" i="1"/>
  <c r="C81" i="1"/>
  <c r="C75" i="1"/>
  <c r="C64" i="1"/>
  <c r="C58" i="1"/>
  <c r="C47" i="1"/>
  <c r="C46" i="1"/>
  <c r="C45" i="1"/>
  <c r="C34" i="1"/>
  <c r="C31" i="1"/>
  <c r="C24" i="1"/>
  <c r="E17" i="13"/>
  <c r="M16" i="2"/>
  <c r="N100" i="31"/>
  <c r="O100" i="31"/>
  <c r="L100" i="31"/>
  <c r="M100" i="31" s="1"/>
  <c r="M19" i="31"/>
  <c r="N19" i="31" s="1"/>
  <c r="K19" i="31"/>
  <c r="L19" i="31"/>
  <c r="N99" i="30"/>
  <c r="L99" i="30"/>
  <c r="M99" i="30" s="1"/>
  <c r="M18" i="30"/>
  <c r="N18" i="30" s="1"/>
  <c r="K18" i="30"/>
  <c r="L18" i="30" s="1"/>
  <c r="N100" i="29"/>
  <c r="O100" i="29" s="1"/>
  <c r="L100" i="29"/>
  <c r="M100" i="29" s="1"/>
  <c r="M19" i="29"/>
  <c r="N19" i="29" s="1"/>
  <c r="K19" i="29"/>
  <c r="L19" i="29" s="1"/>
  <c r="N100" i="28"/>
  <c r="O100" i="28" s="1"/>
  <c r="L100" i="28"/>
  <c r="M100" i="28" s="1"/>
  <c r="M19" i="28"/>
  <c r="N19" i="28" s="1"/>
  <c r="K19" i="28"/>
  <c r="L19" i="28" s="1"/>
  <c r="N101" i="27"/>
  <c r="O101" i="27" s="1"/>
  <c r="L101" i="27"/>
  <c r="M101" i="27" s="1"/>
  <c r="M20" i="27"/>
  <c r="N20" i="27"/>
  <c r="K20" i="27"/>
  <c r="L20" i="27" s="1"/>
  <c r="N104" i="25"/>
  <c r="O104" i="25" s="1"/>
  <c r="L104" i="25"/>
  <c r="M104" i="25" s="1"/>
  <c r="M23" i="25"/>
  <c r="N23" i="25" s="1"/>
  <c r="K23" i="25"/>
  <c r="L23" i="25" s="1"/>
  <c r="N102" i="24"/>
  <c r="O102" i="24" s="1"/>
  <c r="L102" i="24"/>
  <c r="M102" i="24" s="1"/>
  <c r="M21" i="24"/>
  <c r="N21" i="24" s="1"/>
  <c r="K21" i="24"/>
  <c r="L21" i="24" s="1"/>
  <c r="N103" i="23"/>
  <c r="O103" i="23" s="1"/>
  <c r="L103" i="23"/>
  <c r="M103" i="23" s="1"/>
  <c r="M22" i="23"/>
  <c r="N22" i="23" s="1"/>
  <c r="K22" i="23"/>
  <c r="L22" i="23" s="1"/>
  <c r="N104" i="22"/>
  <c r="O104" i="22" s="1"/>
  <c r="L104" i="22"/>
  <c r="M104" i="22" s="1"/>
  <c r="M23" i="22"/>
  <c r="N23" i="22" s="1"/>
  <c r="K23" i="22"/>
  <c r="L23" i="22" s="1"/>
  <c r="N107" i="11"/>
  <c r="O107" i="11" s="1"/>
  <c r="L107" i="11"/>
  <c r="M107" i="11" s="1"/>
  <c r="M26" i="11"/>
  <c r="N26" i="11" s="1"/>
  <c r="K26" i="11"/>
  <c r="L26" i="11" s="1"/>
  <c r="N108" i="10"/>
  <c r="O108" i="10"/>
  <c r="L108" i="10"/>
  <c r="M108" i="10" s="1"/>
  <c r="M27" i="10"/>
  <c r="N27" i="10" s="1"/>
  <c r="K27" i="10"/>
  <c r="L27" i="10"/>
  <c r="N107" i="9"/>
  <c r="O107" i="9" s="1"/>
  <c r="L107" i="9"/>
  <c r="M107" i="9" s="1"/>
  <c r="M26" i="9"/>
  <c r="N26" i="9" s="1"/>
  <c r="K26" i="9"/>
  <c r="L26" i="9" s="1"/>
  <c r="N106" i="8"/>
  <c r="O106" i="8" s="1"/>
  <c r="P106" i="8" s="1"/>
  <c r="L106" i="8"/>
  <c r="M106" i="8" s="1"/>
  <c r="M25" i="8"/>
  <c r="N25" i="8" s="1"/>
  <c r="K25" i="8"/>
  <c r="L25" i="8" s="1"/>
  <c r="N108" i="7"/>
  <c r="O108" i="7" s="1"/>
  <c r="L108" i="7"/>
  <c r="M108" i="7"/>
  <c r="M27" i="7"/>
  <c r="N27" i="7" s="1"/>
  <c r="O27" i="7" s="1"/>
  <c r="K27" i="7"/>
  <c r="L27" i="7"/>
  <c r="M25" i="6"/>
  <c r="N25" i="6" s="1"/>
  <c r="K25" i="6"/>
  <c r="L25" i="6" s="1"/>
  <c r="N106" i="6"/>
  <c r="O106" i="6" s="1"/>
  <c r="L106" i="6"/>
  <c r="M106" i="6" s="1"/>
  <c r="N105" i="5"/>
  <c r="O105" i="5"/>
  <c r="L105" i="5"/>
  <c r="M105" i="5" s="1"/>
  <c r="M24" i="5"/>
  <c r="N24" i="5" s="1"/>
  <c r="K24" i="5"/>
  <c r="L24" i="5"/>
  <c r="N105" i="4"/>
  <c r="O105" i="4" s="1"/>
  <c r="L105" i="4"/>
  <c r="M105" i="4" s="1"/>
  <c r="M24" i="4"/>
  <c r="N24" i="4" s="1"/>
  <c r="K24" i="4"/>
  <c r="L24" i="4" s="1"/>
  <c r="M24" i="3"/>
  <c r="N24" i="3" s="1"/>
  <c r="K24" i="3"/>
  <c r="L24" i="3" s="1"/>
  <c r="N105" i="3"/>
  <c r="O105" i="3" s="1"/>
  <c r="L105" i="3"/>
  <c r="M105" i="3" s="1"/>
  <c r="P39" i="17"/>
  <c r="P38" i="17"/>
  <c r="P37" i="17"/>
  <c r="P36" i="17"/>
  <c r="P1" i="40"/>
  <c r="P83" i="40" s="1"/>
  <c r="P1" i="39"/>
  <c r="P83" i="39" s="1"/>
  <c r="P1" i="38"/>
  <c r="P83" i="38" s="1"/>
  <c r="P1" i="37"/>
  <c r="P83" i="37" s="1"/>
  <c r="P154" i="40"/>
  <c r="O154" i="40"/>
  <c r="M154" i="40"/>
  <c r="J154" i="40"/>
  <c r="P153" i="40"/>
  <c r="O153" i="40"/>
  <c r="M153" i="40"/>
  <c r="J153" i="40"/>
  <c r="P152" i="40"/>
  <c r="O152" i="40"/>
  <c r="M152" i="40"/>
  <c r="J152" i="40"/>
  <c r="P151" i="40"/>
  <c r="O151" i="40"/>
  <c r="M151" i="40"/>
  <c r="J151" i="40"/>
  <c r="P150" i="40"/>
  <c r="O150" i="40"/>
  <c r="M150" i="40"/>
  <c r="J150" i="40"/>
  <c r="P149" i="40"/>
  <c r="O149" i="40"/>
  <c r="M149" i="40"/>
  <c r="J149" i="40"/>
  <c r="P148" i="40"/>
  <c r="O148" i="40"/>
  <c r="M148" i="40"/>
  <c r="J148" i="40"/>
  <c r="P147" i="40"/>
  <c r="O147" i="40"/>
  <c r="M147" i="40"/>
  <c r="J147" i="40"/>
  <c r="P146" i="40"/>
  <c r="O146" i="40"/>
  <c r="M146" i="40"/>
  <c r="J146" i="40"/>
  <c r="P145" i="40"/>
  <c r="O145" i="40"/>
  <c r="M145" i="40"/>
  <c r="J145" i="40"/>
  <c r="P144" i="40"/>
  <c r="O144" i="40"/>
  <c r="M144" i="40"/>
  <c r="J144" i="40"/>
  <c r="P143" i="40"/>
  <c r="O143" i="40"/>
  <c r="M143" i="40"/>
  <c r="J143" i="40"/>
  <c r="P142" i="40"/>
  <c r="O142" i="40"/>
  <c r="M142" i="40"/>
  <c r="J142" i="40"/>
  <c r="P141" i="40"/>
  <c r="O141" i="40"/>
  <c r="M141" i="40"/>
  <c r="J141" i="40"/>
  <c r="P140" i="40"/>
  <c r="O140" i="40"/>
  <c r="M140" i="40"/>
  <c r="J140" i="40"/>
  <c r="P139" i="40"/>
  <c r="O139" i="40"/>
  <c r="M139" i="40"/>
  <c r="J139" i="40"/>
  <c r="P138" i="40"/>
  <c r="O138" i="40"/>
  <c r="M138" i="40"/>
  <c r="J138" i="40"/>
  <c r="P137" i="40"/>
  <c r="O137" i="40"/>
  <c r="M137" i="40"/>
  <c r="J137" i="40"/>
  <c r="P136" i="40"/>
  <c r="O136" i="40"/>
  <c r="M136" i="40"/>
  <c r="J136" i="40"/>
  <c r="P135" i="40"/>
  <c r="O135" i="40"/>
  <c r="M135" i="40"/>
  <c r="J135" i="40"/>
  <c r="P134" i="40"/>
  <c r="O134" i="40"/>
  <c r="M134" i="40"/>
  <c r="J134" i="40"/>
  <c r="P133" i="40"/>
  <c r="O133" i="40"/>
  <c r="M133" i="40"/>
  <c r="J133" i="40"/>
  <c r="P132" i="40"/>
  <c r="O132" i="40"/>
  <c r="M132" i="40"/>
  <c r="J132" i="40"/>
  <c r="P131" i="40"/>
  <c r="O131" i="40"/>
  <c r="M131" i="40"/>
  <c r="J131" i="40"/>
  <c r="O130" i="40"/>
  <c r="M130" i="40"/>
  <c r="O129" i="40"/>
  <c r="M129" i="40"/>
  <c r="O128" i="40"/>
  <c r="M128" i="40"/>
  <c r="O127" i="40"/>
  <c r="M127" i="40"/>
  <c r="O126" i="40"/>
  <c r="M126" i="40"/>
  <c r="O125" i="40"/>
  <c r="M125" i="40"/>
  <c r="O124" i="40"/>
  <c r="M124" i="40"/>
  <c r="O123" i="40"/>
  <c r="M123" i="40"/>
  <c r="O122" i="40"/>
  <c r="M122" i="40"/>
  <c r="O121" i="40"/>
  <c r="M121" i="40"/>
  <c r="O120" i="40"/>
  <c r="M120" i="40"/>
  <c r="O119" i="40"/>
  <c r="M119" i="40"/>
  <c r="O118" i="40"/>
  <c r="M118" i="40"/>
  <c r="O117" i="40"/>
  <c r="M117" i="40"/>
  <c r="O116" i="40"/>
  <c r="M116" i="40"/>
  <c r="O115" i="40"/>
  <c r="M115" i="40"/>
  <c r="O114" i="40"/>
  <c r="M114" i="40"/>
  <c r="O113" i="40"/>
  <c r="M113" i="40"/>
  <c r="O112" i="40"/>
  <c r="M112" i="40"/>
  <c r="O111" i="40"/>
  <c r="M111" i="40"/>
  <c r="O110" i="40"/>
  <c r="M110" i="40"/>
  <c r="O109" i="40"/>
  <c r="M109" i="40"/>
  <c r="O108" i="40"/>
  <c r="M108" i="40"/>
  <c r="O107" i="40"/>
  <c r="M107" i="40"/>
  <c r="O106" i="40"/>
  <c r="M106" i="40"/>
  <c r="O105" i="40"/>
  <c r="M105" i="40"/>
  <c r="O104" i="40"/>
  <c r="M104" i="40"/>
  <c r="O103" i="40"/>
  <c r="M103" i="40"/>
  <c r="O101" i="40"/>
  <c r="O100" i="40"/>
  <c r="D96" i="40"/>
  <c r="L93" i="40"/>
  <c r="J93" i="40"/>
  <c r="D91" i="40"/>
  <c r="D89" i="40"/>
  <c r="N72" i="40"/>
  <c r="L72" i="40"/>
  <c r="N71" i="40"/>
  <c r="L71" i="40"/>
  <c r="N70" i="40"/>
  <c r="L70" i="40"/>
  <c r="N69" i="40"/>
  <c r="L69" i="40"/>
  <c r="N68" i="40"/>
  <c r="L68" i="40"/>
  <c r="N67" i="40"/>
  <c r="L67" i="40"/>
  <c r="N66" i="40"/>
  <c r="L66" i="40"/>
  <c r="N65" i="40"/>
  <c r="L65" i="40"/>
  <c r="N64" i="40"/>
  <c r="L64" i="40"/>
  <c r="N63" i="40"/>
  <c r="L63" i="40"/>
  <c r="N62" i="40"/>
  <c r="L62" i="40"/>
  <c r="N61" i="40"/>
  <c r="L61" i="40"/>
  <c r="N60" i="40"/>
  <c r="L60" i="40"/>
  <c r="N59" i="40"/>
  <c r="L59" i="40"/>
  <c r="N58" i="40"/>
  <c r="L58" i="40"/>
  <c r="N57" i="40"/>
  <c r="L57" i="40"/>
  <c r="N56" i="40"/>
  <c r="L56" i="40"/>
  <c r="N55" i="40"/>
  <c r="L55" i="40"/>
  <c r="N54" i="40"/>
  <c r="L54" i="40"/>
  <c r="N53" i="40"/>
  <c r="L53" i="40"/>
  <c r="N52" i="40"/>
  <c r="L52" i="40"/>
  <c r="N51" i="40"/>
  <c r="L51" i="40"/>
  <c r="N50" i="40"/>
  <c r="L50" i="40"/>
  <c r="N49" i="40"/>
  <c r="L49" i="40"/>
  <c r="N48" i="40"/>
  <c r="L48" i="40"/>
  <c r="N47" i="40"/>
  <c r="L47" i="40"/>
  <c r="N46" i="40"/>
  <c r="L46" i="40"/>
  <c r="N45" i="40"/>
  <c r="L45" i="40"/>
  <c r="N44" i="40"/>
  <c r="L44" i="40"/>
  <c r="N43" i="40"/>
  <c r="L43" i="40"/>
  <c r="N42" i="40"/>
  <c r="L42" i="40"/>
  <c r="N41" i="40"/>
  <c r="L41" i="40"/>
  <c r="N40" i="40"/>
  <c r="L40" i="40"/>
  <c r="N39" i="40"/>
  <c r="L39" i="40"/>
  <c r="N38" i="40"/>
  <c r="L38" i="40"/>
  <c r="N37" i="40"/>
  <c r="L37" i="40"/>
  <c r="N36" i="40"/>
  <c r="L36" i="40"/>
  <c r="N35" i="40"/>
  <c r="L35" i="40"/>
  <c r="N34" i="40"/>
  <c r="L34" i="40"/>
  <c r="N33" i="40"/>
  <c r="L33" i="40"/>
  <c r="N32" i="40"/>
  <c r="L32" i="40"/>
  <c r="N31" i="40"/>
  <c r="L31" i="40"/>
  <c r="N30" i="40"/>
  <c r="L30" i="40"/>
  <c r="N29" i="40"/>
  <c r="L29" i="40"/>
  <c r="N28" i="40"/>
  <c r="L28" i="40"/>
  <c r="N27" i="40"/>
  <c r="L27" i="40"/>
  <c r="N26" i="40"/>
  <c r="L26" i="40"/>
  <c r="N25" i="40"/>
  <c r="L25" i="40"/>
  <c r="N24" i="40"/>
  <c r="L24" i="40"/>
  <c r="N23" i="40"/>
  <c r="L23" i="40"/>
  <c r="N21" i="40"/>
  <c r="N20" i="40"/>
  <c r="N19" i="40"/>
  <c r="N18" i="40"/>
  <c r="O18" i="40" s="1"/>
  <c r="C17" i="40"/>
  <c r="C18" i="40" s="1"/>
  <c r="C19" i="40" s="1"/>
  <c r="C20" i="40" s="1"/>
  <c r="C21" i="40" s="1"/>
  <c r="C22" i="40" s="1"/>
  <c r="C23" i="40" s="1"/>
  <c r="C24" i="40" s="1"/>
  <c r="C25" i="40" s="1"/>
  <c r="C26" i="40" s="1"/>
  <c r="C27" i="40" s="1"/>
  <c r="C28" i="40" s="1"/>
  <c r="C29" i="40" s="1"/>
  <c r="C30" i="40" s="1"/>
  <c r="C31" i="40" s="1"/>
  <c r="C32" i="40" s="1"/>
  <c r="C33" i="40" s="1"/>
  <c r="C34" i="40" s="1"/>
  <c r="C35" i="40" s="1"/>
  <c r="C36" i="40" s="1"/>
  <c r="C37" i="40" s="1"/>
  <c r="C38" i="40" s="1"/>
  <c r="C39" i="40" s="1"/>
  <c r="C40" i="40" s="1"/>
  <c r="C41" i="40" s="1"/>
  <c r="C42" i="40" s="1"/>
  <c r="C43" i="40" s="1"/>
  <c r="C44" i="40" s="1"/>
  <c r="K11" i="40"/>
  <c r="I11" i="40"/>
  <c r="D8" i="40"/>
  <c r="D90" i="40" s="1"/>
  <c r="P154" i="39"/>
  <c r="O154" i="39"/>
  <c r="M154" i="39"/>
  <c r="J154" i="39"/>
  <c r="P153" i="39"/>
  <c r="O153" i="39"/>
  <c r="M153" i="39"/>
  <c r="J153" i="39"/>
  <c r="P152" i="39"/>
  <c r="O152" i="39"/>
  <c r="M152" i="39"/>
  <c r="J152" i="39"/>
  <c r="P151" i="39"/>
  <c r="O151" i="39"/>
  <c r="M151" i="39"/>
  <c r="J151" i="39"/>
  <c r="P150" i="39"/>
  <c r="O150" i="39"/>
  <c r="M150" i="39"/>
  <c r="J150" i="39"/>
  <c r="P149" i="39"/>
  <c r="O149" i="39"/>
  <c r="M149" i="39"/>
  <c r="J149" i="39"/>
  <c r="P148" i="39"/>
  <c r="O148" i="39"/>
  <c r="M148" i="39"/>
  <c r="J148" i="39"/>
  <c r="P147" i="39"/>
  <c r="O147" i="39"/>
  <c r="M147" i="39"/>
  <c r="J147" i="39"/>
  <c r="P146" i="39"/>
  <c r="O146" i="39"/>
  <c r="M146" i="39"/>
  <c r="J146" i="39"/>
  <c r="P145" i="39"/>
  <c r="O145" i="39"/>
  <c r="M145" i="39"/>
  <c r="J145" i="39"/>
  <c r="P144" i="39"/>
  <c r="O144" i="39"/>
  <c r="M144" i="39"/>
  <c r="J144" i="39"/>
  <c r="P143" i="39"/>
  <c r="O143" i="39"/>
  <c r="M143" i="39"/>
  <c r="J143" i="39"/>
  <c r="P142" i="39"/>
  <c r="O142" i="39"/>
  <c r="M142" i="39"/>
  <c r="J142" i="39"/>
  <c r="P141" i="39"/>
  <c r="O141" i="39"/>
  <c r="M141" i="39"/>
  <c r="J141" i="39"/>
  <c r="P140" i="39"/>
  <c r="O140" i="39"/>
  <c r="M140" i="39"/>
  <c r="J140" i="39"/>
  <c r="P139" i="39"/>
  <c r="O139" i="39"/>
  <c r="M139" i="39"/>
  <c r="J139" i="39"/>
  <c r="P138" i="39"/>
  <c r="O138" i="39"/>
  <c r="M138" i="39"/>
  <c r="J138" i="39"/>
  <c r="P137" i="39"/>
  <c r="O137" i="39"/>
  <c r="M137" i="39"/>
  <c r="J137" i="39"/>
  <c r="P136" i="39"/>
  <c r="O136" i="39"/>
  <c r="M136" i="39"/>
  <c r="J136" i="39"/>
  <c r="P135" i="39"/>
  <c r="O135" i="39"/>
  <c r="M135" i="39"/>
  <c r="J135" i="39"/>
  <c r="P134" i="39"/>
  <c r="O134" i="39"/>
  <c r="M134" i="39"/>
  <c r="J134" i="39"/>
  <c r="P133" i="39"/>
  <c r="O133" i="39"/>
  <c r="M133" i="39"/>
  <c r="J133" i="39"/>
  <c r="P132" i="39"/>
  <c r="O132" i="39"/>
  <c r="M132" i="39"/>
  <c r="J132" i="39"/>
  <c r="P131" i="39"/>
  <c r="O131" i="39"/>
  <c r="M131" i="39"/>
  <c r="J131" i="39"/>
  <c r="O130" i="39"/>
  <c r="M130" i="39"/>
  <c r="O129" i="39"/>
  <c r="M129" i="39"/>
  <c r="O128" i="39"/>
  <c r="M128" i="39"/>
  <c r="O127" i="39"/>
  <c r="M127" i="39"/>
  <c r="O126" i="39"/>
  <c r="M126" i="39"/>
  <c r="O125" i="39"/>
  <c r="M125" i="39"/>
  <c r="O124" i="39"/>
  <c r="M124" i="39"/>
  <c r="O123" i="39"/>
  <c r="M123" i="39"/>
  <c r="O122" i="39"/>
  <c r="M122" i="39"/>
  <c r="O121" i="39"/>
  <c r="M121" i="39"/>
  <c r="O120" i="39"/>
  <c r="M120" i="39"/>
  <c r="O119" i="39"/>
  <c r="M119" i="39"/>
  <c r="O118" i="39"/>
  <c r="M118" i="39"/>
  <c r="O117" i="39"/>
  <c r="M117" i="39"/>
  <c r="O116" i="39"/>
  <c r="M116" i="39"/>
  <c r="O115" i="39"/>
  <c r="M115" i="39"/>
  <c r="O114" i="39"/>
  <c r="M114" i="39"/>
  <c r="O113" i="39"/>
  <c r="M113" i="39"/>
  <c r="O112" i="39"/>
  <c r="M112" i="39"/>
  <c r="O111" i="39"/>
  <c r="M111" i="39"/>
  <c r="O110" i="39"/>
  <c r="M110" i="39"/>
  <c r="O109" i="39"/>
  <c r="M109" i="39"/>
  <c r="O108" i="39"/>
  <c r="M108" i="39"/>
  <c r="O107" i="39"/>
  <c r="M107" i="39"/>
  <c r="O106" i="39"/>
  <c r="M106" i="39"/>
  <c r="O105" i="39"/>
  <c r="M105" i="39"/>
  <c r="O104" i="39"/>
  <c r="M104" i="39"/>
  <c r="O102" i="39"/>
  <c r="O101" i="39"/>
  <c r="O99" i="39"/>
  <c r="M99" i="39"/>
  <c r="D96" i="39"/>
  <c r="L93" i="39"/>
  <c r="J93" i="39"/>
  <c r="D91" i="39"/>
  <c r="D89" i="39"/>
  <c r="N72" i="39"/>
  <c r="L72" i="39"/>
  <c r="N71" i="39"/>
  <c r="L71" i="39"/>
  <c r="N70" i="39"/>
  <c r="L70" i="39"/>
  <c r="N69" i="39"/>
  <c r="L69" i="39"/>
  <c r="N68" i="39"/>
  <c r="L68" i="39"/>
  <c r="N67" i="39"/>
  <c r="L67" i="39"/>
  <c r="N66" i="39"/>
  <c r="L66" i="39"/>
  <c r="N65" i="39"/>
  <c r="L65" i="39"/>
  <c r="N64" i="39"/>
  <c r="L64" i="39"/>
  <c r="N63" i="39"/>
  <c r="L63" i="39"/>
  <c r="N62" i="39"/>
  <c r="L62" i="39"/>
  <c r="N61" i="39"/>
  <c r="L61" i="39"/>
  <c r="N60" i="39"/>
  <c r="L60" i="39"/>
  <c r="N59" i="39"/>
  <c r="L59" i="39"/>
  <c r="N58" i="39"/>
  <c r="L58" i="39"/>
  <c r="N57" i="39"/>
  <c r="L57" i="39"/>
  <c r="N56" i="39"/>
  <c r="L56" i="39"/>
  <c r="N55" i="39"/>
  <c r="L55" i="39"/>
  <c r="N54" i="39"/>
  <c r="L54" i="39"/>
  <c r="N53" i="39"/>
  <c r="L53" i="39"/>
  <c r="N52" i="39"/>
  <c r="L52" i="39"/>
  <c r="N51" i="39"/>
  <c r="L51" i="39"/>
  <c r="N50" i="39"/>
  <c r="L50" i="39"/>
  <c r="N49" i="39"/>
  <c r="L49" i="39"/>
  <c r="N48" i="39"/>
  <c r="L48" i="39"/>
  <c r="N47" i="39"/>
  <c r="L47" i="39"/>
  <c r="N46" i="39"/>
  <c r="L46" i="39"/>
  <c r="N45" i="39"/>
  <c r="L45" i="39"/>
  <c r="N44" i="39"/>
  <c r="L44" i="39"/>
  <c r="N43" i="39"/>
  <c r="L43" i="39"/>
  <c r="N42" i="39"/>
  <c r="L42" i="39"/>
  <c r="N41" i="39"/>
  <c r="L41" i="39"/>
  <c r="N40" i="39"/>
  <c r="L40" i="39"/>
  <c r="N39" i="39"/>
  <c r="L39" i="39"/>
  <c r="N38" i="39"/>
  <c r="L38" i="39"/>
  <c r="N37" i="39"/>
  <c r="L37" i="39"/>
  <c r="N36" i="39"/>
  <c r="L36" i="39"/>
  <c r="N35" i="39"/>
  <c r="L35" i="39"/>
  <c r="N34" i="39"/>
  <c r="L34" i="39"/>
  <c r="N33" i="39"/>
  <c r="L33" i="39"/>
  <c r="N32" i="39"/>
  <c r="L32" i="39"/>
  <c r="N31" i="39"/>
  <c r="L31" i="39"/>
  <c r="N30" i="39"/>
  <c r="L30" i="39"/>
  <c r="N29" i="39"/>
  <c r="L29" i="39"/>
  <c r="N28" i="39"/>
  <c r="L28" i="39"/>
  <c r="N27" i="39"/>
  <c r="L27" i="39"/>
  <c r="N26" i="39"/>
  <c r="L26" i="39"/>
  <c r="N25" i="39"/>
  <c r="L25" i="39"/>
  <c r="N24" i="39"/>
  <c r="L24" i="39"/>
  <c r="N22" i="39"/>
  <c r="N21" i="39"/>
  <c r="N20" i="39"/>
  <c r="N19" i="39"/>
  <c r="N18" i="39"/>
  <c r="N17" i="39"/>
  <c r="O17" i="39" s="1"/>
  <c r="L17" i="39"/>
  <c r="C17" i="39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  <c r="C53" i="39" s="1"/>
  <c r="C54" i="39" s="1"/>
  <c r="C55" i="39" s="1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K11" i="39"/>
  <c r="I11" i="39"/>
  <c r="D8" i="39"/>
  <c r="D90" i="39" s="1"/>
  <c r="P154" i="38"/>
  <c r="O154" i="38"/>
  <c r="M154" i="38"/>
  <c r="J154" i="38"/>
  <c r="P153" i="38"/>
  <c r="O153" i="38"/>
  <c r="M153" i="38"/>
  <c r="J153" i="38"/>
  <c r="P152" i="38"/>
  <c r="O152" i="38"/>
  <c r="M152" i="38"/>
  <c r="J152" i="38"/>
  <c r="P151" i="38"/>
  <c r="O151" i="38"/>
  <c r="M151" i="38"/>
  <c r="J151" i="38"/>
  <c r="P150" i="38"/>
  <c r="O150" i="38"/>
  <c r="M150" i="38"/>
  <c r="J150" i="38"/>
  <c r="P149" i="38"/>
  <c r="O149" i="38"/>
  <c r="M149" i="38"/>
  <c r="J149" i="38"/>
  <c r="P148" i="38"/>
  <c r="O148" i="38"/>
  <c r="M148" i="38"/>
  <c r="J148" i="38"/>
  <c r="P147" i="38"/>
  <c r="O147" i="38"/>
  <c r="M147" i="38"/>
  <c r="J147" i="38"/>
  <c r="P146" i="38"/>
  <c r="O146" i="38"/>
  <c r="M146" i="38"/>
  <c r="J146" i="38"/>
  <c r="P145" i="38"/>
  <c r="O145" i="38"/>
  <c r="M145" i="38"/>
  <c r="J145" i="38"/>
  <c r="P144" i="38"/>
  <c r="O144" i="38"/>
  <c r="M144" i="38"/>
  <c r="J144" i="38"/>
  <c r="P143" i="38"/>
  <c r="O143" i="38"/>
  <c r="M143" i="38"/>
  <c r="J143" i="38"/>
  <c r="P142" i="38"/>
  <c r="O142" i="38"/>
  <c r="M142" i="38"/>
  <c r="J142" i="38"/>
  <c r="P141" i="38"/>
  <c r="O141" i="38"/>
  <c r="M141" i="38"/>
  <c r="J141" i="38"/>
  <c r="P140" i="38"/>
  <c r="O140" i="38"/>
  <c r="M140" i="38"/>
  <c r="J140" i="38"/>
  <c r="P139" i="38"/>
  <c r="O139" i="38"/>
  <c r="M139" i="38"/>
  <c r="J139" i="38"/>
  <c r="P138" i="38"/>
  <c r="O138" i="38"/>
  <c r="M138" i="38"/>
  <c r="J138" i="38"/>
  <c r="P137" i="38"/>
  <c r="O137" i="38"/>
  <c r="M137" i="38"/>
  <c r="J137" i="38"/>
  <c r="P136" i="38"/>
  <c r="O136" i="38"/>
  <c r="M136" i="38"/>
  <c r="J136" i="38"/>
  <c r="P135" i="38"/>
  <c r="O135" i="38"/>
  <c r="M135" i="38"/>
  <c r="J135" i="38"/>
  <c r="P134" i="38"/>
  <c r="O134" i="38"/>
  <c r="M134" i="38"/>
  <c r="J134" i="38"/>
  <c r="P133" i="38"/>
  <c r="O133" i="38"/>
  <c r="M133" i="38"/>
  <c r="J133" i="38"/>
  <c r="P132" i="38"/>
  <c r="O132" i="38"/>
  <c r="M132" i="38"/>
  <c r="J132" i="38"/>
  <c r="P131" i="38"/>
  <c r="O131" i="38"/>
  <c r="M131" i="38"/>
  <c r="J131" i="38"/>
  <c r="O130" i="38"/>
  <c r="M130" i="38"/>
  <c r="O129" i="38"/>
  <c r="M129" i="38"/>
  <c r="O128" i="38"/>
  <c r="M128" i="38"/>
  <c r="O127" i="38"/>
  <c r="M127" i="38"/>
  <c r="O126" i="38"/>
  <c r="M126" i="38"/>
  <c r="O125" i="38"/>
  <c r="M125" i="38"/>
  <c r="O124" i="38"/>
  <c r="M124" i="38"/>
  <c r="O123" i="38"/>
  <c r="M123" i="38"/>
  <c r="O122" i="38"/>
  <c r="M122" i="38"/>
  <c r="O121" i="38"/>
  <c r="M121" i="38"/>
  <c r="O120" i="38"/>
  <c r="M120" i="38"/>
  <c r="O119" i="38"/>
  <c r="M119" i="38"/>
  <c r="O118" i="38"/>
  <c r="M118" i="38"/>
  <c r="O117" i="38"/>
  <c r="M117" i="38"/>
  <c r="O116" i="38"/>
  <c r="M116" i="38"/>
  <c r="O115" i="38"/>
  <c r="M115" i="38"/>
  <c r="O114" i="38"/>
  <c r="M114" i="38"/>
  <c r="O113" i="38"/>
  <c r="M113" i="38"/>
  <c r="O112" i="38"/>
  <c r="M112" i="38"/>
  <c r="O111" i="38"/>
  <c r="M111" i="38"/>
  <c r="O110" i="38"/>
  <c r="M110" i="38"/>
  <c r="O109" i="38"/>
  <c r="M109" i="38"/>
  <c r="O108" i="38"/>
  <c r="M108" i="38"/>
  <c r="O107" i="38"/>
  <c r="M107" i="38"/>
  <c r="O106" i="38"/>
  <c r="M106" i="38"/>
  <c r="O105" i="38"/>
  <c r="M105" i="38"/>
  <c r="O104" i="38"/>
  <c r="M104" i="38"/>
  <c r="O103" i="38"/>
  <c r="M103" i="38"/>
  <c r="O101" i="38"/>
  <c r="M99" i="38"/>
  <c r="D96" i="38"/>
  <c r="L93" i="38"/>
  <c r="J93" i="38"/>
  <c r="D91" i="38"/>
  <c r="D89" i="38"/>
  <c r="N72" i="38"/>
  <c r="L72" i="38"/>
  <c r="N71" i="38"/>
  <c r="L71" i="38"/>
  <c r="N70" i="38"/>
  <c r="L70" i="38"/>
  <c r="N69" i="38"/>
  <c r="L69" i="38"/>
  <c r="N68" i="38"/>
  <c r="L68" i="38"/>
  <c r="N67" i="38"/>
  <c r="L67" i="38"/>
  <c r="N66" i="38"/>
  <c r="L66" i="38"/>
  <c r="N65" i="38"/>
  <c r="L65" i="38"/>
  <c r="N64" i="38"/>
  <c r="L64" i="38"/>
  <c r="N63" i="38"/>
  <c r="L63" i="38"/>
  <c r="N62" i="38"/>
  <c r="L62" i="38"/>
  <c r="N61" i="38"/>
  <c r="L61" i="38"/>
  <c r="N60" i="38"/>
  <c r="L60" i="38"/>
  <c r="N59" i="38"/>
  <c r="L59" i="38"/>
  <c r="N58" i="38"/>
  <c r="L58" i="38"/>
  <c r="N57" i="38"/>
  <c r="L57" i="38"/>
  <c r="N56" i="38"/>
  <c r="L56" i="38"/>
  <c r="N55" i="38"/>
  <c r="L55" i="38"/>
  <c r="N54" i="38"/>
  <c r="L54" i="38"/>
  <c r="N53" i="38"/>
  <c r="L53" i="38"/>
  <c r="N52" i="38"/>
  <c r="L52" i="38"/>
  <c r="N51" i="38"/>
  <c r="L51" i="38"/>
  <c r="N50" i="38"/>
  <c r="L50" i="38"/>
  <c r="N49" i="38"/>
  <c r="L49" i="38"/>
  <c r="N48" i="38"/>
  <c r="L48" i="38"/>
  <c r="N47" i="38"/>
  <c r="L47" i="38"/>
  <c r="N46" i="38"/>
  <c r="L46" i="38"/>
  <c r="N45" i="38"/>
  <c r="L45" i="38"/>
  <c r="N44" i="38"/>
  <c r="L44" i="38"/>
  <c r="N43" i="38"/>
  <c r="L43" i="38"/>
  <c r="N42" i="38"/>
  <c r="L42" i="38"/>
  <c r="N41" i="38"/>
  <c r="L41" i="38"/>
  <c r="N40" i="38"/>
  <c r="L40" i="38"/>
  <c r="N39" i="38"/>
  <c r="L39" i="38"/>
  <c r="N38" i="38"/>
  <c r="L38" i="38"/>
  <c r="N37" i="38"/>
  <c r="L37" i="38"/>
  <c r="N36" i="38"/>
  <c r="L36" i="38"/>
  <c r="N35" i="38"/>
  <c r="L35" i="38"/>
  <c r="N34" i="38"/>
  <c r="L34" i="38"/>
  <c r="N33" i="38"/>
  <c r="L33" i="38"/>
  <c r="N32" i="38"/>
  <c r="L32" i="38"/>
  <c r="N31" i="38"/>
  <c r="L31" i="38"/>
  <c r="N30" i="38"/>
  <c r="L30" i="38"/>
  <c r="N29" i="38"/>
  <c r="L29" i="38"/>
  <c r="N28" i="38"/>
  <c r="L28" i="38"/>
  <c r="N27" i="38"/>
  <c r="L27" i="38"/>
  <c r="N26" i="38"/>
  <c r="L26" i="38"/>
  <c r="N25" i="38"/>
  <c r="L25" i="38"/>
  <c r="N24" i="38"/>
  <c r="L24" i="38"/>
  <c r="N22" i="38"/>
  <c r="N21" i="38"/>
  <c r="N20" i="38"/>
  <c r="N19" i="38"/>
  <c r="N17" i="38"/>
  <c r="C18" i="38"/>
  <c r="C19" i="38" s="1"/>
  <c r="C20" i="38" s="1"/>
  <c r="C21" i="38" s="1"/>
  <c r="C22" i="38" s="1"/>
  <c r="C23" i="38" s="1"/>
  <c r="C24" i="38" s="1"/>
  <c r="C25" i="38" s="1"/>
  <c r="C26" i="38" s="1"/>
  <c r="C27" i="38" s="1"/>
  <c r="C28" i="38" s="1"/>
  <c r="C29" i="38" s="1"/>
  <c r="C30" i="38" s="1"/>
  <c r="C31" i="38" s="1"/>
  <c r="C32" i="38" s="1"/>
  <c r="C33" i="38" s="1"/>
  <c r="C34" i="38" s="1"/>
  <c r="C35" i="38" s="1"/>
  <c r="C36" i="38" s="1"/>
  <c r="C37" i="38" s="1"/>
  <c r="C38" i="38" s="1"/>
  <c r="C39" i="38" s="1"/>
  <c r="C40" i="38" s="1"/>
  <c r="C41" i="38" s="1"/>
  <c r="C42" i="38" s="1"/>
  <c r="C43" i="38" s="1"/>
  <c r="C44" i="38" s="1"/>
  <c r="C45" i="38" s="1"/>
  <c r="C46" i="38" s="1"/>
  <c r="C47" i="38" s="1"/>
  <c r="C48" i="38" s="1"/>
  <c r="C49" i="38" s="1"/>
  <c r="C50" i="38" s="1"/>
  <c r="C51" i="38" s="1"/>
  <c r="C52" i="38" s="1"/>
  <c r="C53" i="38" s="1"/>
  <c r="C54" i="38" s="1"/>
  <c r="C55" i="38" s="1"/>
  <c r="C56" i="38" s="1"/>
  <c r="C57" i="38" s="1"/>
  <c r="C58" i="38" s="1"/>
  <c r="C59" i="38" s="1"/>
  <c r="C60" i="38" s="1"/>
  <c r="C61" i="38" s="1"/>
  <c r="C62" i="38" s="1"/>
  <c r="C63" i="38" s="1"/>
  <c r="C64" i="38" s="1"/>
  <c r="C65" i="38" s="1"/>
  <c r="C66" i="38" s="1"/>
  <c r="C67" i="38" s="1"/>
  <c r="C68" i="38" s="1"/>
  <c r="C69" i="38" s="1"/>
  <c r="C70" i="38" s="1"/>
  <c r="C71" i="38" s="1"/>
  <c r="C72" i="38" s="1"/>
  <c r="K11" i="38"/>
  <c r="I11" i="38"/>
  <c r="D8" i="38"/>
  <c r="D90" i="38" s="1"/>
  <c r="W39" i="17"/>
  <c r="W38" i="17"/>
  <c r="W37" i="17"/>
  <c r="W36" i="17"/>
  <c r="W35" i="17"/>
  <c r="P35" i="17"/>
  <c r="P154" i="37"/>
  <c r="O154" i="37"/>
  <c r="M154" i="37"/>
  <c r="J154" i="37"/>
  <c r="P153" i="37"/>
  <c r="O153" i="37"/>
  <c r="M153" i="37"/>
  <c r="J153" i="37"/>
  <c r="P152" i="37"/>
  <c r="O152" i="37"/>
  <c r="M152" i="37"/>
  <c r="J152" i="37"/>
  <c r="P151" i="37"/>
  <c r="O151" i="37"/>
  <c r="M151" i="37"/>
  <c r="J151" i="37"/>
  <c r="P150" i="37"/>
  <c r="O150" i="37"/>
  <c r="M150" i="37"/>
  <c r="J150" i="37"/>
  <c r="P149" i="37"/>
  <c r="O149" i="37"/>
  <c r="M149" i="37"/>
  <c r="J149" i="37"/>
  <c r="P148" i="37"/>
  <c r="O148" i="37"/>
  <c r="M148" i="37"/>
  <c r="J148" i="37"/>
  <c r="P147" i="37"/>
  <c r="O147" i="37"/>
  <c r="M147" i="37"/>
  <c r="J147" i="37"/>
  <c r="P146" i="37"/>
  <c r="O146" i="37"/>
  <c r="M146" i="37"/>
  <c r="J146" i="37"/>
  <c r="P145" i="37"/>
  <c r="O145" i="37"/>
  <c r="M145" i="37"/>
  <c r="J145" i="37"/>
  <c r="P144" i="37"/>
  <c r="O144" i="37"/>
  <c r="M144" i="37"/>
  <c r="J144" i="37"/>
  <c r="P143" i="37"/>
  <c r="O143" i="37"/>
  <c r="M143" i="37"/>
  <c r="J143" i="37"/>
  <c r="P142" i="37"/>
  <c r="O142" i="37"/>
  <c r="M142" i="37"/>
  <c r="J142" i="37"/>
  <c r="P141" i="37"/>
  <c r="O141" i="37"/>
  <c r="M141" i="37"/>
  <c r="J141" i="37"/>
  <c r="P140" i="37"/>
  <c r="O140" i="37"/>
  <c r="M140" i="37"/>
  <c r="J140" i="37"/>
  <c r="P139" i="37"/>
  <c r="O139" i="37"/>
  <c r="M139" i="37"/>
  <c r="J139" i="37"/>
  <c r="P138" i="37"/>
  <c r="O138" i="37"/>
  <c r="M138" i="37"/>
  <c r="J138" i="37"/>
  <c r="P137" i="37"/>
  <c r="O137" i="37"/>
  <c r="M137" i="37"/>
  <c r="J137" i="37"/>
  <c r="P136" i="37"/>
  <c r="O136" i="37"/>
  <c r="M136" i="37"/>
  <c r="J136" i="37"/>
  <c r="P135" i="37"/>
  <c r="O135" i="37"/>
  <c r="M135" i="37"/>
  <c r="J135" i="37"/>
  <c r="P134" i="37"/>
  <c r="O134" i="37"/>
  <c r="M134" i="37"/>
  <c r="J134" i="37"/>
  <c r="P133" i="37"/>
  <c r="O133" i="37"/>
  <c r="M133" i="37"/>
  <c r="J133" i="37"/>
  <c r="P132" i="37"/>
  <c r="O132" i="37"/>
  <c r="M132" i="37"/>
  <c r="J132" i="37"/>
  <c r="P131" i="37"/>
  <c r="O131" i="37"/>
  <c r="M131" i="37"/>
  <c r="J131" i="37"/>
  <c r="O130" i="37"/>
  <c r="M130" i="37"/>
  <c r="O129" i="37"/>
  <c r="M129" i="37"/>
  <c r="O128" i="37"/>
  <c r="M128" i="37"/>
  <c r="O127" i="37"/>
  <c r="M127" i="37"/>
  <c r="O126" i="37"/>
  <c r="M126" i="37"/>
  <c r="O125" i="37"/>
  <c r="M125" i="37"/>
  <c r="O124" i="37"/>
  <c r="M124" i="37"/>
  <c r="O123" i="37"/>
  <c r="M123" i="37"/>
  <c r="O122" i="37"/>
  <c r="M122" i="37"/>
  <c r="O121" i="37"/>
  <c r="M121" i="37"/>
  <c r="O120" i="37"/>
  <c r="M120" i="37"/>
  <c r="O119" i="37"/>
  <c r="M119" i="37"/>
  <c r="O118" i="37"/>
  <c r="M118" i="37"/>
  <c r="O117" i="37"/>
  <c r="M117" i="37"/>
  <c r="O116" i="37"/>
  <c r="M116" i="37"/>
  <c r="O115" i="37"/>
  <c r="M115" i="37"/>
  <c r="O114" i="37"/>
  <c r="M114" i="37"/>
  <c r="O113" i="37"/>
  <c r="M113" i="37"/>
  <c r="O112" i="37"/>
  <c r="M112" i="37"/>
  <c r="O111" i="37"/>
  <c r="M111" i="37"/>
  <c r="O110" i="37"/>
  <c r="M110" i="37"/>
  <c r="O109" i="37"/>
  <c r="M109" i="37"/>
  <c r="O108" i="37"/>
  <c r="M108" i="37"/>
  <c r="O107" i="37"/>
  <c r="M107" i="37"/>
  <c r="O106" i="37"/>
  <c r="M106" i="37"/>
  <c r="O105" i="37"/>
  <c r="M105" i="37"/>
  <c r="O104" i="37"/>
  <c r="M104" i="37"/>
  <c r="O102" i="37"/>
  <c r="O101" i="37"/>
  <c r="M99" i="37"/>
  <c r="D96" i="37"/>
  <c r="L93" i="37"/>
  <c r="J93" i="37"/>
  <c r="D91" i="37"/>
  <c r="D89" i="37"/>
  <c r="N72" i="37"/>
  <c r="L72" i="37"/>
  <c r="N71" i="37"/>
  <c r="L71" i="37"/>
  <c r="N70" i="37"/>
  <c r="L70" i="37"/>
  <c r="N69" i="37"/>
  <c r="L69" i="37"/>
  <c r="N68" i="37"/>
  <c r="L68" i="37"/>
  <c r="N67" i="37"/>
  <c r="L67" i="37"/>
  <c r="N66" i="37"/>
  <c r="L66" i="37"/>
  <c r="N65" i="37"/>
  <c r="L65" i="37"/>
  <c r="N64" i="37"/>
  <c r="L64" i="37"/>
  <c r="N63" i="37"/>
  <c r="L63" i="37"/>
  <c r="N62" i="37"/>
  <c r="L62" i="37"/>
  <c r="N61" i="37"/>
  <c r="L61" i="37"/>
  <c r="N60" i="37"/>
  <c r="L60" i="37"/>
  <c r="N59" i="37"/>
  <c r="L59" i="37"/>
  <c r="N58" i="37"/>
  <c r="L58" i="37"/>
  <c r="N57" i="37"/>
  <c r="L57" i="37"/>
  <c r="N56" i="37"/>
  <c r="L56" i="37"/>
  <c r="N55" i="37"/>
  <c r="L55" i="37"/>
  <c r="N54" i="37"/>
  <c r="L54" i="37"/>
  <c r="N53" i="37"/>
  <c r="L53" i="37"/>
  <c r="N52" i="37"/>
  <c r="L52" i="37"/>
  <c r="N51" i="37"/>
  <c r="L51" i="37"/>
  <c r="N50" i="37"/>
  <c r="L50" i="37"/>
  <c r="N49" i="37"/>
  <c r="L49" i="37"/>
  <c r="N48" i="37"/>
  <c r="L48" i="37"/>
  <c r="N47" i="37"/>
  <c r="L47" i="37"/>
  <c r="N46" i="37"/>
  <c r="L46" i="37"/>
  <c r="N45" i="37"/>
  <c r="L45" i="37"/>
  <c r="N44" i="37"/>
  <c r="L44" i="37"/>
  <c r="N43" i="37"/>
  <c r="L43" i="37"/>
  <c r="N42" i="37"/>
  <c r="L42" i="37"/>
  <c r="N41" i="37"/>
  <c r="L41" i="37"/>
  <c r="N40" i="37"/>
  <c r="L40" i="37"/>
  <c r="N39" i="37"/>
  <c r="L39" i="37"/>
  <c r="N38" i="37"/>
  <c r="L38" i="37"/>
  <c r="N37" i="37"/>
  <c r="L37" i="37"/>
  <c r="N36" i="37"/>
  <c r="L36" i="37"/>
  <c r="N35" i="37"/>
  <c r="L35" i="37"/>
  <c r="N34" i="37"/>
  <c r="L34" i="37"/>
  <c r="N33" i="37"/>
  <c r="L33" i="37"/>
  <c r="N32" i="37"/>
  <c r="L32" i="37"/>
  <c r="N31" i="37"/>
  <c r="L31" i="37"/>
  <c r="N30" i="37"/>
  <c r="L30" i="37"/>
  <c r="N29" i="37"/>
  <c r="L29" i="37"/>
  <c r="N28" i="37"/>
  <c r="L28" i="37"/>
  <c r="N27" i="37"/>
  <c r="L27" i="37"/>
  <c r="N26" i="37"/>
  <c r="L26" i="37"/>
  <c r="N25" i="37"/>
  <c r="L25" i="37"/>
  <c r="N24" i="37"/>
  <c r="L24" i="37"/>
  <c r="N22" i="37"/>
  <c r="N21" i="37"/>
  <c r="N20" i="37"/>
  <c r="N19" i="37"/>
  <c r="C17" i="37"/>
  <c r="C18" i="37" s="1"/>
  <c r="C19" i="37" s="1"/>
  <c r="C20" i="37" s="1"/>
  <c r="C21" i="37" s="1"/>
  <c r="C22" i="37" s="1"/>
  <c r="C23" i="37" s="1"/>
  <c r="C24" i="37" s="1"/>
  <c r="C25" i="37" s="1"/>
  <c r="C26" i="37" s="1"/>
  <c r="C27" i="37" s="1"/>
  <c r="C28" i="37" s="1"/>
  <c r="C29" i="37" s="1"/>
  <c r="C30" i="37" s="1"/>
  <c r="C31" i="37" s="1"/>
  <c r="C32" i="37" s="1"/>
  <c r="C33" i="37" s="1"/>
  <c r="C34" i="37" s="1"/>
  <c r="C35" i="37" s="1"/>
  <c r="C36" i="37" s="1"/>
  <c r="C37" i="37" s="1"/>
  <c r="C38" i="37" s="1"/>
  <c r="C39" i="37" s="1"/>
  <c r="C40" i="37" s="1"/>
  <c r="C41" i="37" s="1"/>
  <c r="C42" i="37" s="1"/>
  <c r="C43" i="37" s="1"/>
  <c r="C44" i="37" s="1"/>
  <c r="K11" i="37"/>
  <c r="I11" i="37"/>
  <c r="D8" i="37"/>
  <c r="D90" i="37" s="1"/>
  <c r="S52" i="17"/>
  <c r="M52" i="17"/>
  <c r="N99" i="31"/>
  <c r="O99" i="31" s="1"/>
  <c r="L99" i="31"/>
  <c r="M99" i="31" s="1"/>
  <c r="D96" i="31"/>
  <c r="M18" i="31"/>
  <c r="N18" i="31"/>
  <c r="K18" i="31"/>
  <c r="L18" i="31" s="1"/>
  <c r="O18" i="31" s="1"/>
  <c r="M17" i="30"/>
  <c r="N17" i="30"/>
  <c r="K17" i="30"/>
  <c r="L17" i="30" s="1"/>
  <c r="N99" i="29"/>
  <c r="O99" i="29" s="1"/>
  <c r="P99" i="29" s="1"/>
  <c r="L99" i="29"/>
  <c r="M99" i="29" s="1"/>
  <c r="M18" i="29"/>
  <c r="N18" i="29" s="1"/>
  <c r="K18" i="29"/>
  <c r="L18" i="29" s="1"/>
  <c r="N99" i="28"/>
  <c r="O99" i="28" s="1"/>
  <c r="L99" i="28"/>
  <c r="M99" i="28" s="1"/>
  <c r="M18" i="28"/>
  <c r="N18" i="28" s="1"/>
  <c r="K18" i="28"/>
  <c r="L18" i="28"/>
  <c r="O18" i="28" s="1"/>
  <c r="N103" i="25"/>
  <c r="O103" i="25" s="1"/>
  <c r="L103" i="25"/>
  <c r="M103" i="25" s="1"/>
  <c r="M22" i="25"/>
  <c r="N22" i="25" s="1"/>
  <c r="K22" i="25"/>
  <c r="L22" i="25" s="1"/>
  <c r="O22" i="25" s="1"/>
  <c r="N101" i="24"/>
  <c r="O101" i="24" s="1"/>
  <c r="L101" i="24"/>
  <c r="M101" i="24" s="1"/>
  <c r="M20" i="24"/>
  <c r="N20" i="24" s="1"/>
  <c r="K20" i="24"/>
  <c r="L20" i="24" s="1"/>
  <c r="M21" i="23"/>
  <c r="N21" i="23" s="1"/>
  <c r="O21" i="23" s="1"/>
  <c r="K21" i="23"/>
  <c r="L21" i="23" s="1"/>
  <c r="N102" i="23"/>
  <c r="O102" i="23"/>
  <c r="L102" i="23"/>
  <c r="M102" i="23" s="1"/>
  <c r="N103" i="22"/>
  <c r="O103" i="22" s="1"/>
  <c r="L103" i="22"/>
  <c r="M103" i="22" s="1"/>
  <c r="M22" i="22"/>
  <c r="N22" i="22" s="1"/>
  <c r="O22" i="22" s="1"/>
  <c r="K22" i="22"/>
  <c r="L22" i="22" s="1"/>
  <c r="N106" i="11"/>
  <c r="O106" i="11" s="1"/>
  <c r="P106" i="11" s="1"/>
  <c r="L106" i="11"/>
  <c r="M106" i="11" s="1"/>
  <c r="M25" i="11"/>
  <c r="N25" i="11"/>
  <c r="K25" i="11"/>
  <c r="L25" i="11" s="1"/>
  <c r="N107" i="10"/>
  <c r="O107" i="10" s="1"/>
  <c r="P107" i="10" s="1"/>
  <c r="L107" i="10"/>
  <c r="M107" i="10" s="1"/>
  <c r="M26" i="10"/>
  <c r="N26" i="10" s="1"/>
  <c r="K26" i="10"/>
  <c r="L26" i="10" s="1"/>
  <c r="N106" i="9"/>
  <c r="O106" i="9" s="1"/>
  <c r="L106" i="9"/>
  <c r="M106" i="9" s="1"/>
  <c r="M25" i="9"/>
  <c r="N25" i="9" s="1"/>
  <c r="K25" i="9"/>
  <c r="L25" i="9" s="1"/>
  <c r="N105" i="8"/>
  <c r="O105" i="8" s="1"/>
  <c r="L105" i="8"/>
  <c r="M105" i="8" s="1"/>
  <c r="M24" i="8"/>
  <c r="N24" i="8" s="1"/>
  <c r="K24" i="8"/>
  <c r="N107" i="7"/>
  <c r="O107" i="7" s="1"/>
  <c r="L107" i="7"/>
  <c r="M107" i="7" s="1"/>
  <c r="M26" i="7"/>
  <c r="N26" i="7" s="1"/>
  <c r="K26" i="7"/>
  <c r="L26" i="7" s="1"/>
  <c r="N105" i="6"/>
  <c r="O105" i="6" s="1"/>
  <c r="L105" i="6"/>
  <c r="M105" i="6" s="1"/>
  <c r="M24" i="6"/>
  <c r="N24" i="6" s="1"/>
  <c r="K24" i="6"/>
  <c r="L24" i="6"/>
  <c r="N104" i="5"/>
  <c r="O104" i="5" s="1"/>
  <c r="L104" i="5"/>
  <c r="M104" i="5" s="1"/>
  <c r="M23" i="5"/>
  <c r="N23" i="5" s="1"/>
  <c r="K23" i="5"/>
  <c r="L23" i="5" s="1"/>
  <c r="N104" i="4"/>
  <c r="O104" i="4" s="1"/>
  <c r="L104" i="4"/>
  <c r="M104" i="4" s="1"/>
  <c r="M23" i="4"/>
  <c r="N23" i="4" s="1"/>
  <c r="K23" i="4"/>
  <c r="L23" i="4"/>
  <c r="N104" i="3"/>
  <c r="O104" i="3" s="1"/>
  <c r="P104" i="3" s="1"/>
  <c r="L104" i="3"/>
  <c r="M104" i="3" s="1"/>
  <c r="M23" i="3"/>
  <c r="N23" i="3" s="1"/>
  <c r="K23" i="3"/>
  <c r="L23" i="3" s="1"/>
  <c r="N100" i="27"/>
  <c r="O100" i="27" s="1"/>
  <c r="P100" i="27" s="1"/>
  <c r="L100" i="27"/>
  <c r="M100" i="27" s="1"/>
  <c r="N99" i="27"/>
  <c r="O99" i="27" s="1"/>
  <c r="L99" i="27"/>
  <c r="M99" i="27" s="1"/>
  <c r="P99" i="27" s="1"/>
  <c r="M19" i="27"/>
  <c r="N19" i="27" s="1"/>
  <c r="K19" i="27"/>
  <c r="L19" i="27" s="1"/>
  <c r="M17" i="31"/>
  <c r="N17" i="31" s="1"/>
  <c r="K17" i="31"/>
  <c r="L17" i="31" s="1"/>
  <c r="W34" i="17"/>
  <c r="P34" i="17"/>
  <c r="P154" i="31"/>
  <c r="O154" i="31"/>
  <c r="M154" i="31"/>
  <c r="P153" i="31"/>
  <c r="O153" i="31"/>
  <c r="M153" i="31"/>
  <c r="P152" i="31"/>
  <c r="O152" i="31"/>
  <c r="M152" i="31"/>
  <c r="P151" i="31"/>
  <c r="O151" i="31"/>
  <c r="M151" i="31"/>
  <c r="P150" i="31"/>
  <c r="O150" i="31"/>
  <c r="M150" i="31"/>
  <c r="P149" i="31"/>
  <c r="O149" i="31"/>
  <c r="M149" i="31"/>
  <c r="P148" i="31"/>
  <c r="O148" i="31"/>
  <c r="M148" i="31"/>
  <c r="P147" i="31"/>
  <c r="O147" i="31"/>
  <c r="M147" i="31"/>
  <c r="P146" i="31"/>
  <c r="O146" i="31"/>
  <c r="M146" i="31"/>
  <c r="P145" i="31"/>
  <c r="O145" i="31"/>
  <c r="M145" i="31"/>
  <c r="P144" i="31"/>
  <c r="O144" i="31"/>
  <c r="M144" i="31"/>
  <c r="P143" i="31"/>
  <c r="O143" i="31"/>
  <c r="M143" i="31"/>
  <c r="P142" i="31"/>
  <c r="O142" i="31"/>
  <c r="M142" i="31"/>
  <c r="P141" i="31"/>
  <c r="O141" i="31"/>
  <c r="M141" i="31"/>
  <c r="P140" i="31"/>
  <c r="O140" i="31"/>
  <c r="M140" i="31"/>
  <c r="P139" i="31"/>
  <c r="O139" i="31"/>
  <c r="M139" i="31"/>
  <c r="P138" i="31"/>
  <c r="O138" i="31"/>
  <c r="M138" i="31"/>
  <c r="P137" i="31"/>
  <c r="O137" i="31"/>
  <c r="M137" i="31"/>
  <c r="P136" i="31"/>
  <c r="O136" i="31"/>
  <c r="M136" i="31"/>
  <c r="P135" i="31"/>
  <c r="O135" i="31"/>
  <c r="M135" i="31"/>
  <c r="P134" i="31"/>
  <c r="O134" i="31"/>
  <c r="M134" i="31"/>
  <c r="P133" i="31"/>
  <c r="O133" i="31"/>
  <c r="M133" i="31"/>
  <c r="P132" i="31"/>
  <c r="O132" i="31"/>
  <c r="M132" i="31"/>
  <c r="P131" i="31"/>
  <c r="O131" i="31"/>
  <c r="M131" i="31"/>
  <c r="O130" i="31"/>
  <c r="M130" i="31"/>
  <c r="O129" i="31"/>
  <c r="M129" i="31"/>
  <c r="O128" i="31"/>
  <c r="M128" i="31"/>
  <c r="O127" i="31"/>
  <c r="M127" i="31"/>
  <c r="O126" i="31"/>
  <c r="M126" i="31"/>
  <c r="O125" i="31"/>
  <c r="M125" i="31"/>
  <c r="O124" i="31"/>
  <c r="M124" i="31"/>
  <c r="O123" i="31"/>
  <c r="M123" i="31"/>
  <c r="O122" i="31"/>
  <c r="M122" i="31"/>
  <c r="O121" i="31"/>
  <c r="M121" i="31"/>
  <c r="O120" i="31"/>
  <c r="M120" i="31"/>
  <c r="O119" i="31"/>
  <c r="M119" i="31"/>
  <c r="O118" i="31"/>
  <c r="M118" i="31"/>
  <c r="O117" i="31"/>
  <c r="M117" i="31"/>
  <c r="O116" i="31"/>
  <c r="M116" i="31"/>
  <c r="O115" i="31"/>
  <c r="M115" i="31"/>
  <c r="O114" i="31"/>
  <c r="M114" i="31"/>
  <c r="O113" i="31"/>
  <c r="M113" i="31"/>
  <c r="O112" i="31"/>
  <c r="M112" i="31"/>
  <c r="O111" i="31"/>
  <c r="M111" i="31"/>
  <c r="O110" i="31"/>
  <c r="M110" i="31"/>
  <c r="O109" i="31"/>
  <c r="M109" i="31"/>
  <c r="O108" i="31"/>
  <c r="M108" i="31"/>
  <c r="O107" i="31"/>
  <c r="M107" i="31"/>
  <c r="O105" i="31"/>
  <c r="O104" i="31"/>
  <c r="L93" i="31"/>
  <c r="J93" i="31"/>
  <c r="E91" i="31"/>
  <c r="D91" i="31"/>
  <c r="D89" i="31"/>
  <c r="N72" i="31"/>
  <c r="L72" i="31"/>
  <c r="N71" i="31"/>
  <c r="L71" i="31"/>
  <c r="N70" i="31"/>
  <c r="L70" i="31"/>
  <c r="N69" i="31"/>
  <c r="L69" i="31"/>
  <c r="N68" i="31"/>
  <c r="L68" i="31"/>
  <c r="N67" i="31"/>
  <c r="L67" i="31"/>
  <c r="N66" i="31"/>
  <c r="L66" i="31"/>
  <c r="N65" i="31"/>
  <c r="L65" i="31"/>
  <c r="N64" i="31"/>
  <c r="L64" i="31"/>
  <c r="N63" i="31"/>
  <c r="L63" i="31"/>
  <c r="N62" i="31"/>
  <c r="L62" i="31"/>
  <c r="N61" i="31"/>
  <c r="L61" i="31"/>
  <c r="N60" i="31"/>
  <c r="L60" i="31"/>
  <c r="N59" i="31"/>
  <c r="L59" i="31"/>
  <c r="N58" i="31"/>
  <c r="L58" i="31"/>
  <c r="N57" i="31"/>
  <c r="L57" i="31"/>
  <c r="N56" i="31"/>
  <c r="L56" i="31"/>
  <c r="N55" i="31"/>
  <c r="L55" i="31"/>
  <c r="N54" i="31"/>
  <c r="L54" i="31"/>
  <c r="N53" i="31"/>
  <c r="L53" i="31"/>
  <c r="N52" i="31"/>
  <c r="L52" i="31"/>
  <c r="N51" i="31"/>
  <c r="L51" i="31"/>
  <c r="N50" i="31"/>
  <c r="L50" i="31"/>
  <c r="N49" i="31"/>
  <c r="L49" i="31"/>
  <c r="N48" i="31"/>
  <c r="L48" i="31"/>
  <c r="N47" i="31"/>
  <c r="L47" i="31"/>
  <c r="N46" i="31"/>
  <c r="L46" i="31"/>
  <c r="N45" i="31"/>
  <c r="L45" i="31"/>
  <c r="N44" i="31"/>
  <c r="L44" i="31"/>
  <c r="N43" i="31"/>
  <c r="L43" i="31"/>
  <c r="N42" i="31"/>
  <c r="L42" i="31"/>
  <c r="N41" i="31"/>
  <c r="L41" i="31"/>
  <c r="N40" i="31"/>
  <c r="L40" i="31"/>
  <c r="N39" i="31"/>
  <c r="L39" i="31"/>
  <c r="N38" i="31"/>
  <c r="L38" i="31"/>
  <c r="N37" i="31"/>
  <c r="L37" i="31"/>
  <c r="N36" i="31"/>
  <c r="L36" i="31"/>
  <c r="N35" i="31"/>
  <c r="L35" i="31"/>
  <c r="N34" i="31"/>
  <c r="L34" i="31"/>
  <c r="N33" i="31"/>
  <c r="L33" i="31"/>
  <c r="N32" i="31"/>
  <c r="L32" i="31"/>
  <c r="N31" i="31"/>
  <c r="L31" i="31"/>
  <c r="N30" i="31"/>
  <c r="L30" i="31"/>
  <c r="N29" i="31"/>
  <c r="L29" i="31"/>
  <c r="N28" i="31"/>
  <c r="L28" i="31"/>
  <c r="N27" i="31"/>
  <c r="L27" i="31"/>
  <c r="N25" i="31"/>
  <c r="N24" i="31"/>
  <c r="N23" i="31"/>
  <c r="N22" i="31"/>
  <c r="C17" i="3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C28" i="31" s="1"/>
  <c r="C29" i="31" s="1"/>
  <c r="C30" i="31" s="1"/>
  <c r="C31" i="31" s="1"/>
  <c r="C32" i="31" s="1"/>
  <c r="C33" i="31" s="1"/>
  <c r="C34" i="31" s="1"/>
  <c r="C35" i="31" s="1"/>
  <c r="C36" i="31" s="1"/>
  <c r="C37" i="31" s="1"/>
  <c r="C38" i="31" s="1"/>
  <c r="C39" i="31" s="1"/>
  <c r="C40" i="31" s="1"/>
  <c r="C41" i="31" s="1"/>
  <c r="C42" i="31" s="1"/>
  <c r="C43" i="31" s="1"/>
  <c r="C44" i="31" s="1"/>
  <c r="C45" i="31" s="1"/>
  <c r="C46" i="31" s="1"/>
  <c r="C47" i="31" s="1"/>
  <c r="C48" i="31" s="1"/>
  <c r="C49" i="31" s="1"/>
  <c r="C50" i="31" s="1"/>
  <c r="C51" i="31" s="1"/>
  <c r="C52" i="31" s="1"/>
  <c r="C53" i="31" s="1"/>
  <c r="K11" i="31"/>
  <c r="I11" i="31"/>
  <c r="P1" i="31"/>
  <c r="P83" i="31" s="1"/>
  <c r="P154" i="30"/>
  <c r="O154" i="30"/>
  <c r="M154" i="30"/>
  <c r="P153" i="30"/>
  <c r="O153" i="30"/>
  <c r="M153" i="30"/>
  <c r="P152" i="30"/>
  <c r="O152" i="30"/>
  <c r="M152" i="30"/>
  <c r="P151" i="30"/>
  <c r="O151" i="30"/>
  <c r="M151" i="30"/>
  <c r="P150" i="30"/>
  <c r="O150" i="30"/>
  <c r="M150" i="30"/>
  <c r="P149" i="30"/>
  <c r="O149" i="30"/>
  <c r="M149" i="30"/>
  <c r="P148" i="30"/>
  <c r="O148" i="30"/>
  <c r="M148" i="30"/>
  <c r="P147" i="30"/>
  <c r="O147" i="30"/>
  <c r="M147" i="30"/>
  <c r="P146" i="30"/>
  <c r="O146" i="30"/>
  <c r="M146" i="30"/>
  <c r="P145" i="30"/>
  <c r="O145" i="30"/>
  <c r="M145" i="30"/>
  <c r="P144" i="30"/>
  <c r="O144" i="30"/>
  <c r="M144" i="30"/>
  <c r="P143" i="30"/>
  <c r="O143" i="30"/>
  <c r="M143" i="30"/>
  <c r="P142" i="30"/>
  <c r="O142" i="30"/>
  <c r="M142" i="30"/>
  <c r="P141" i="30"/>
  <c r="O141" i="30"/>
  <c r="M141" i="30"/>
  <c r="P140" i="30"/>
  <c r="O140" i="30"/>
  <c r="M140" i="30"/>
  <c r="P139" i="30"/>
  <c r="O139" i="30"/>
  <c r="M139" i="30"/>
  <c r="P138" i="30"/>
  <c r="O138" i="30"/>
  <c r="M138" i="30"/>
  <c r="P137" i="30"/>
  <c r="O137" i="30"/>
  <c r="M137" i="30"/>
  <c r="P136" i="30"/>
  <c r="O136" i="30"/>
  <c r="M136" i="30"/>
  <c r="P135" i="30"/>
  <c r="O135" i="30"/>
  <c r="M135" i="30"/>
  <c r="P134" i="30"/>
  <c r="O134" i="30"/>
  <c r="M134" i="30"/>
  <c r="P133" i="30"/>
  <c r="O133" i="30"/>
  <c r="M133" i="30"/>
  <c r="P132" i="30"/>
  <c r="O132" i="30"/>
  <c r="M132" i="30"/>
  <c r="P131" i="30"/>
  <c r="O131" i="30"/>
  <c r="M131" i="30"/>
  <c r="O130" i="30"/>
  <c r="M130" i="30"/>
  <c r="O129" i="30"/>
  <c r="M129" i="30"/>
  <c r="O128" i="30"/>
  <c r="M128" i="30"/>
  <c r="O127" i="30"/>
  <c r="M127" i="30"/>
  <c r="O126" i="30"/>
  <c r="M126" i="30"/>
  <c r="O125" i="30"/>
  <c r="M125" i="30"/>
  <c r="O124" i="30"/>
  <c r="M124" i="30"/>
  <c r="O123" i="30"/>
  <c r="M123" i="30"/>
  <c r="O122" i="30"/>
  <c r="M122" i="30"/>
  <c r="O121" i="30"/>
  <c r="M121" i="30"/>
  <c r="O120" i="30"/>
  <c r="M120" i="30"/>
  <c r="O119" i="30"/>
  <c r="M119" i="30"/>
  <c r="O118" i="30"/>
  <c r="M118" i="30"/>
  <c r="O117" i="30"/>
  <c r="M117" i="30"/>
  <c r="O116" i="30"/>
  <c r="M116" i="30"/>
  <c r="O115" i="30"/>
  <c r="M115" i="30"/>
  <c r="O114" i="30"/>
  <c r="M114" i="30"/>
  <c r="O113" i="30"/>
  <c r="M113" i="30"/>
  <c r="O112" i="30"/>
  <c r="M112" i="30"/>
  <c r="O111" i="30"/>
  <c r="M111" i="30"/>
  <c r="O110" i="30"/>
  <c r="M110" i="30"/>
  <c r="O109" i="30"/>
  <c r="M109" i="30"/>
  <c r="O108" i="30"/>
  <c r="M108" i="30"/>
  <c r="O107" i="30"/>
  <c r="M107" i="30"/>
  <c r="O106" i="30"/>
  <c r="M106" i="30"/>
  <c r="O104" i="30"/>
  <c r="O103" i="30"/>
  <c r="O99" i="30"/>
  <c r="D96" i="30"/>
  <c r="L93" i="30"/>
  <c r="J93" i="30"/>
  <c r="E91" i="30"/>
  <c r="D91" i="30"/>
  <c r="D89" i="30"/>
  <c r="N72" i="30"/>
  <c r="L72" i="30"/>
  <c r="N71" i="30"/>
  <c r="L71" i="30"/>
  <c r="N70" i="30"/>
  <c r="L70" i="30"/>
  <c r="N69" i="30"/>
  <c r="L69" i="30"/>
  <c r="N68" i="30"/>
  <c r="L68" i="30"/>
  <c r="N67" i="30"/>
  <c r="L67" i="30"/>
  <c r="N66" i="30"/>
  <c r="L66" i="30"/>
  <c r="N65" i="30"/>
  <c r="L65" i="30"/>
  <c r="N64" i="30"/>
  <c r="L64" i="30"/>
  <c r="N63" i="30"/>
  <c r="L63" i="30"/>
  <c r="N62" i="30"/>
  <c r="L62" i="30"/>
  <c r="N61" i="30"/>
  <c r="L61" i="30"/>
  <c r="N60" i="30"/>
  <c r="L60" i="30"/>
  <c r="N59" i="30"/>
  <c r="L59" i="30"/>
  <c r="N58" i="30"/>
  <c r="L58" i="30"/>
  <c r="N57" i="30"/>
  <c r="L57" i="30"/>
  <c r="N56" i="30"/>
  <c r="L56" i="30"/>
  <c r="N55" i="30"/>
  <c r="L55" i="30"/>
  <c r="N54" i="30"/>
  <c r="L54" i="30"/>
  <c r="N53" i="30"/>
  <c r="L53" i="30"/>
  <c r="N52" i="30"/>
  <c r="L52" i="30"/>
  <c r="N51" i="30"/>
  <c r="L51" i="30"/>
  <c r="N50" i="30"/>
  <c r="L50" i="30"/>
  <c r="N49" i="30"/>
  <c r="L49" i="30"/>
  <c r="N48" i="30"/>
  <c r="L48" i="30"/>
  <c r="N47" i="30"/>
  <c r="L47" i="30"/>
  <c r="N46" i="30"/>
  <c r="L46" i="30"/>
  <c r="N45" i="30"/>
  <c r="L45" i="30"/>
  <c r="N44" i="30"/>
  <c r="L44" i="30"/>
  <c r="N43" i="30"/>
  <c r="L43" i="30"/>
  <c r="N42" i="30"/>
  <c r="L42" i="30"/>
  <c r="N41" i="30"/>
  <c r="L41" i="30"/>
  <c r="N40" i="30"/>
  <c r="L40" i="30"/>
  <c r="N39" i="30"/>
  <c r="L39" i="30"/>
  <c r="N38" i="30"/>
  <c r="L38" i="30"/>
  <c r="N37" i="30"/>
  <c r="L37" i="30"/>
  <c r="N36" i="30"/>
  <c r="L36" i="30"/>
  <c r="N35" i="30"/>
  <c r="L35" i="30"/>
  <c r="N34" i="30"/>
  <c r="L34" i="30"/>
  <c r="N33" i="30"/>
  <c r="L33" i="30"/>
  <c r="N32" i="30"/>
  <c r="L32" i="30"/>
  <c r="N31" i="30"/>
  <c r="L31" i="30"/>
  <c r="N30" i="30"/>
  <c r="L30" i="30"/>
  <c r="N29" i="30"/>
  <c r="L29" i="30"/>
  <c r="N28" i="30"/>
  <c r="L28" i="30"/>
  <c r="N27" i="30"/>
  <c r="L27" i="30"/>
  <c r="N26" i="30"/>
  <c r="L26" i="30"/>
  <c r="N24" i="30"/>
  <c r="N23" i="30"/>
  <c r="N22" i="30"/>
  <c r="N21" i="30"/>
  <c r="C17" i="30"/>
  <c r="C18" i="30" s="1"/>
  <c r="C19" i="30" s="1"/>
  <c r="C20" i="30" s="1"/>
  <c r="C21" i="30" s="1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C43" i="30" s="1"/>
  <c r="C44" i="30" s="1"/>
  <c r="C45" i="30" s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C56" i="30" s="1"/>
  <c r="C57" i="30" s="1"/>
  <c r="C58" i="30" s="1"/>
  <c r="C59" i="30" s="1"/>
  <c r="C60" i="30" s="1"/>
  <c r="C61" i="30" s="1"/>
  <c r="C62" i="30" s="1"/>
  <c r="C63" i="30" s="1"/>
  <c r="C64" i="30" s="1"/>
  <c r="C65" i="30" s="1"/>
  <c r="C66" i="30" s="1"/>
  <c r="C67" i="30" s="1"/>
  <c r="C68" i="30" s="1"/>
  <c r="C69" i="30" s="1"/>
  <c r="C70" i="30" s="1"/>
  <c r="C71" i="30" s="1"/>
  <c r="C72" i="30" s="1"/>
  <c r="K11" i="30"/>
  <c r="I11" i="30"/>
  <c r="D8" i="30"/>
  <c r="D90" i="30" s="1"/>
  <c r="P1" i="30"/>
  <c r="P83" i="30" s="1"/>
  <c r="M17" i="29"/>
  <c r="N17" i="29" s="1"/>
  <c r="K17" i="29"/>
  <c r="L17" i="29"/>
  <c r="M17" i="28"/>
  <c r="N17" i="28" s="1"/>
  <c r="O17" i="28" s="1"/>
  <c r="K17" i="28"/>
  <c r="L17" i="28" s="1"/>
  <c r="N102" i="25"/>
  <c r="O102" i="25" s="1"/>
  <c r="L102" i="25"/>
  <c r="M102" i="25" s="1"/>
  <c r="M21" i="25"/>
  <c r="N21" i="25" s="1"/>
  <c r="K21" i="25"/>
  <c r="L21" i="25" s="1"/>
  <c r="N100" i="24"/>
  <c r="O100" i="24" s="1"/>
  <c r="L100" i="24"/>
  <c r="M100" i="24" s="1"/>
  <c r="M19" i="24"/>
  <c r="N19" i="24"/>
  <c r="K19" i="24"/>
  <c r="L19" i="24" s="1"/>
  <c r="N101" i="23"/>
  <c r="O101" i="23" s="1"/>
  <c r="L101" i="23"/>
  <c r="M101" i="23" s="1"/>
  <c r="M20" i="23"/>
  <c r="N20" i="23" s="1"/>
  <c r="K20" i="23"/>
  <c r="L20" i="23" s="1"/>
  <c r="N102" i="22"/>
  <c r="O102" i="22" s="1"/>
  <c r="L102" i="22"/>
  <c r="M102" i="22" s="1"/>
  <c r="M21" i="22"/>
  <c r="N21" i="22" s="1"/>
  <c r="O21" i="22" s="1"/>
  <c r="K21" i="22"/>
  <c r="L21" i="22" s="1"/>
  <c r="N105" i="11"/>
  <c r="O105" i="11" s="1"/>
  <c r="L105" i="11"/>
  <c r="M105" i="11" s="1"/>
  <c r="M24" i="11"/>
  <c r="K24" i="11"/>
  <c r="L24" i="11" s="1"/>
  <c r="N106" i="10"/>
  <c r="O106" i="10" s="1"/>
  <c r="L106" i="10"/>
  <c r="M106" i="10" s="1"/>
  <c r="M25" i="10"/>
  <c r="N25" i="10"/>
  <c r="K25" i="10"/>
  <c r="L25" i="10" s="1"/>
  <c r="N105" i="9"/>
  <c r="O105" i="9" s="1"/>
  <c r="L105" i="9"/>
  <c r="M105" i="9" s="1"/>
  <c r="M24" i="9"/>
  <c r="N24" i="9" s="1"/>
  <c r="K24" i="9"/>
  <c r="L24" i="9" s="1"/>
  <c r="N104" i="8"/>
  <c r="O104" i="8" s="1"/>
  <c r="L104" i="8"/>
  <c r="M104" i="8" s="1"/>
  <c r="M23" i="8"/>
  <c r="N23" i="8" s="1"/>
  <c r="O23" i="8" s="1"/>
  <c r="K23" i="8"/>
  <c r="L23" i="8" s="1"/>
  <c r="N106" i="7"/>
  <c r="O106" i="7" s="1"/>
  <c r="P106" i="7" s="1"/>
  <c r="L106" i="7"/>
  <c r="M106" i="7" s="1"/>
  <c r="M25" i="7"/>
  <c r="N25" i="7" s="1"/>
  <c r="K25" i="7"/>
  <c r="L25" i="7" s="1"/>
  <c r="N104" i="6"/>
  <c r="O104" i="6"/>
  <c r="L104" i="6"/>
  <c r="M104" i="6" s="1"/>
  <c r="M23" i="6"/>
  <c r="N23" i="6" s="1"/>
  <c r="K23" i="6"/>
  <c r="L23" i="6" s="1"/>
  <c r="N103" i="5"/>
  <c r="O103" i="5" s="1"/>
  <c r="L103" i="5"/>
  <c r="M103" i="5" s="1"/>
  <c r="P103" i="5" s="1"/>
  <c r="M22" i="5"/>
  <c r="N22" i="5" s="1"/>
  <c r="K22" i="5"/>
  <c r="L22" i="5" s="1"/>
  <c r="N103" i="4"/>
  <c r="O103" i="4" s="1"/>
  <c r="L103" i="4"/>
  <c r="M103" i="4" s="1"/>
  <c r="M22" i="4"/>
  <c r="N22" i="4" s="1"/>
  <c r="K22" i="4"/>
  <c r="L22" i="4" s="1"/>
  <c r="N103" i="3"/>
  <c r="O103" i="3" s="1"/>
  <c r="P103" i="3" s="1"/>
  <c r="L103" i="3"/>
  <c r="M103" i="3" s="1"/>
  <c r="M22" i="3"/>
  <c r="K22" i="3"/>
  <c r="L22" i="3" s="1"/>
  <c r="D8" i="13"/>
  <c r="D92" i="23"/>
  <c r="P1" i="29"/>
  <c r="P83" i="29" s="1"/>
  <c r="P1" i="28"/>
  <c r="P83" i="28" s="1"/>
  <c r="P1" i="27"/>
  <c r="P83" i="27" s="1"/>
  <c r="D8" i="29"/>
  <c r="D90" i="29" s="1"/>
  <c r="D8" i="28"/>
  <c r="D90" i="28" s="1"/>
  <c r="D8" i="27"/>
  <c r="D90" i="27" s="1"/>
  <c r="D8" i="25"/>
  <c r="D8" i="24"/>
  <c r="D8" i="22"/>
  <c r="D90" i="22" s="1"/>
  <c r="D8" i="11"/>
  <c r="D90" i="11" s="1"/>
  <c r="D8" i="10"/>
  <c r="D90" i="10" s="1"/>
  <c r="E91" i="28"/>
  <c r="E91" i="29"/>
  <c r="W33" i="17"/>
  <c r="P33" i="17"/>
  <c r="W32" i="17"/>
  <c r="P32" i="17"/>
  <c r="N102" i="5"/>
  <c r="O102" i="5" s="1"/>
  <c r="L102" i="5"/>
  <c r="M102" i="5" s="1"/>
  <c r="P154" i="29"/>
  <c r="O154" i="29"/>
  <c r="M154" i="29"/>
  <c r="P153" i="29"/>
  <c r="O153" i="29"/>
  <c r="M153" i="29"/>
  <c r="P152" i="29"/>
  <c r="O152" i="29"/>
  <c r="M152" i="29"/>
  <c r="P151" i="29"/>
  <c r="O151" i="29"/>
  <c r="M151" i="29"/>
  <c r="P150" i="29"/>
  <c r="O150" i="29"/>
  <c r="M150" i="29"/>
  <c r="P149" i="29"/>
  <c r="O149" i="29"/>
  <c r="M149" i="29"/>
  <c r="P148" i="29"/>
  <c r="O148" i="29"/>
  <c r="M148" i="29"/>
  <c r="P147" i="29"/>
  <c r="O147" i="29"/>
  <c r="M147" i="29"/>
  <c r="P146" i="29"/>
  <c r="O146" i="29"/>
  <c r="M146" i="29"/>
  <c r="P145" i="29"/>
  <c r="O145" i="29"/>
  <c r="M145" i="29"/>
  <c r="P144" i="29"/>
  <c r="O144" i="29"/>
  <c r="M144" i="29"/>
  <c r="P143" i="29"/>
  <c r="O143" i="29"/>
  <c r="M143" i="29"/>
  <c r="P142" i="29"/>
  <c r="O142" i="29"/>
  <c r="M142" i="29"/>
  <c r="P141" i="29"/>
  <c r="O141" i="29"/>
  <c r="M141" i="29"/>
  <c r="P140" i="29"/>
  <c r="O140" i="29"/>
  <c r="M140" i="29"/>
  <c r="P139" i="29"/>
  <c r="O139" i="29"/>
  <c r="M139" i="29"/>
  <c r="P138" i="29"/>
  <c r="O138" i="29"/>
  <c r="M138" i="29"/>
  <c r="P137" i="29"/>
  <c r="O137" i="29"/>
  <c r="M137" i="29"/>
  <c r="P136" i="29"/>
  <c r="O136" i="29"/>
  <c r="M136" i="29"/>
  <c r="P135" i="29"/>
  <c r="O135" i="29"/>
  <c r="M135" i="29"/>
  <c r="P134" i="29"/>
  <c r="O134" i="29"/>
  <c r="M134" i="29"/>
  <c r="P133" i="29"/>
  <c r="O133" i="29"/>
  <c r="M133" i="29"/>
  <c r="P132" i="29"/>
  <c r="O132" i="29"/>
  <c r="M132" i="29"/>
  <c r="P131" i="29"/>
  <c r="O131" i="29"/>
  <c r="M131" i="29"/>
  <c r="O130" i="29"/>
  <c r="M130" i="29"/>
  <c r="O129" i="29"/>
  <c r="M129" i="29"/>
  <c r="O128" i="29"/>
  <c r="M128" i="29"/>
  <c r="O127" i="29"/>
  <c r="M127" i="29"/>
  <c r="O126" i="29"/>
  <c r="M126" i="29"/>
  <c r="O125" i="29"/>
  <c r="M125" i="29"/>
  <c r="O124" i="29"/>
  <c r="M124" i="29"/>
  <c r="O123" i="29"/>
  <c r="M123" i="29"/>
  <c r="O122" i="29"/>
  <c r="M122" i="29"/>
  <c r="O121" i="29"/>
  <c r="M121" i="29"/>
  <c r="O120" i="29"/>
  <c r="M120" i="29"/>
  <c r="O119" i="29"/>
  <c r="M119" i="29"/>
  <c r="O118" i="29"/>
  <c r="M118" i="29"/>
  <c r="O117" i="29"/>
  <c r="M117" i="29"/>
  <c r="O116" i="29"/>
  <c r="M116" i="29"/>
  <c r="O115" i="29"/>
  <c r="M115" i="29"/>
  <c r="O114" i="29"/>
  <c r="M114" i="29"/>
  <c r="O113" i="29"/>
  <c r="M113" i="29"/>
  <c r="O112" i="29"/>
  <c r="M112" i="29"/>
  <c r="O111" i="29"/>
  <c r="M111" i="29"/>
  <c r="O110" i="29"/>
  <c r="M110" i="29"/>
  <c r="O109" i="29"/>
  <c r="M109" i="29"/>
  <c r="O108" i="29"/>
  <c r="M108" i="29"/>
  <c r="O107" i="29"/>
  <c r="M107" i="29"/>
  <c r="O105" i="29"/>
  <c r="O104" i="29"/>
  <c r="D96" i="29"/>
  <c r="L93" i="29"/>
  <c r="J93" i="29"/>
  <c r="D91" i="29"/>
  <c r="D89" i="29"/>
  <c r="N72" i="29"/>
  <c r="L72" i="29"/>
  <c r="N71" i="29"/>
  <c r="L71" i="29"/>
  <c r="N70" i="29"/>
  <c r="L70" i="29"/>
  <c r="N69" i="29"/>
  <c r="L69" i="29"/>
  <c r="N68" i="29"/>
  <c r="L68" i="29"/>
  <c r="N67" i="29"/>
  <c r="L67" i="29"/>
  <c r="N66" i="29"/>
  <c r="L66" i="29"/>
  <c r="N65" i="29"/>
  <c r="L65" i="29"/>
  <c r="N64" i="29"/>
  <c r="L64" i="29"/>
  <c r="N63" i="29"/>
  <c r="L63" i="29"/>
  <c r="N62" i="29"/>
  <c r="L62" i="29"/>
  <c r="N61" i="29"/>
  <c r="L61" i="29"/>
  <c r="N60" i="29"/>
  <c r="L60" i="29"/>
  <c r="N59" i="29"/>
  <c r="L59" i="29"/>
  <c r="N58" i="29"/>
  <c r="L58" i="29"/>
  <c r="N57" i="29"/>
  <c r="L57" i="29"/>
  <c r="N56" i="29"/>
  <c r="L56" i="29"/>
  <c r="N55" i="29"/>
  <c r="L55" i="29"/>
  <c r="N54" i="29"/>
  <c r="L54" i="29"/>
  <c r="N53" i="29"/>
  <c r="L53" i="29"/>
  <c r="N52" i="29"/>
  <c r="L52" i="29"/>
  <c r="N51" i="29"/>
  <c r="L51" i="29"/>
  <c r="N50" i="29"/>
  <c r="L50" i="29"/>
  <c r="N49" i="29"/>
  <c r="L49" i="29"/>
  <c r="N48" i="29"/>
  <c r="L48" i="29"/>
  <c r="N47" i="29"/>
  <c r="L47" i="29"/>
  <c r="N46" i="29"/>
  <c r="L46" i="29"/>
  <c r="N45" i="29"/>
  <c r="L45" i="29"/>
  <c r="N44" i="29"/>
  <c r="L44" i="29"/>
  <c r="N43" i="29"/>
  <c r="L43" i="29"/>
  <c r="N42" i="29"/>
  <c r="L42" i="29"/>
  <c r="N41" i="29"/>
  <c r="L41" i="29"/>
  <c r="N40" i="29"/>
  <c r="L40" i="29"/>
  <c r="N39" i="29"/>
  <c r="L39" i="29"/>
  <c r="N38" i="29"/>
  <c r="L38" i="29"/>
  <c r="N37" i="29"/>
  <c r="L37" i="29"/>
  <c r="N36" i="29"/>
  <c r="L36" i="29"/>
  <c r="N35" i="29"/>
  <c r="L35" i="29"/>
  <c r="N34" i="29"/>
  <c r="L34" i="29"/>
  <c r="N33" i="29"/>
  <c r="L33" i="29"/>
  <c r="N32" i="29"/>
  <c r="L32" i="29"/>
  <c r="N31" i="29"/>
  <c r="L31" i="29"/>
  <c r="N30" i="29"/>
  <c r="L30" i="29"/>
  <c r="N29" i="29"/>
  <c r="L29" i="29"/>
  <c r="N28" i="29"/>
  <c r="L28" i="29"/>
  <c r="N27" i="29"/>
  <c r="L27" i="29"/>
  <c r="N25" i="29"/>
  <c r="N24" i="29"/>
  <c r="N23" i="29"/>
  <c r="N22" i="29"/>
  <c r="C17" i="29"/>
  <c r="C18" i="29" s="1"/>
  <c r="C19" i="29" s="1"/>
  <c r="C20" i="29" s="1"/>
  <c r="C21" i="29" s="1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34" i="29" s="1"/>
  <c r="C35" i="29" s="1"/>
  <c r="C36" i="29" s="1"/>
  <c r="C37" i="29" s="1"/>
  <c r="C38" i="29" s="1"/>
  <c r="C39" i="29" s="1"/>
  <c r="C40" i="29" s="1"/>
  <c r="C41" i="29" s="1"/>
  <c r="C42" i="29" s="1"/>
  <c r="C43" i="29" s="1"/>
  <c r="C44" i="29" s="1"/>
  <c r="C45" i="29" s="1"/>
  <c r="C46" i="29" s="1"/>
  <c r="C47" i="29" s="1"/>
  <c r="C48" i="29" s="1"/>
  <c r="C49" i="29" s="1"/>
  <c r="C50" i="29" s="1"/>
  <c r="C51" i="29" s="1"/>
  <c r="C52" i="29" s="1"/>
  <c r="C53" i="29" s="1"/>
  <c r="C54" i="29" s="1"/>
  <c r="C55" i="29" s="1"/>
  <c r="C56" i="29" s="1"/>
  <c r="C57" i="29" s="1"/>
  <c r="C58" i="29" s="1"/>
  <c r="C59" i="29" s="1"/>
  <c r="C60" i="29" s="1"/>
  <c r="C61" i="29" s="1"/>
  <c r="C62" i="29" s="1"/>
  <c r="C63" i="29" s="1"/>
  <c r="C64" i="29" s="1"/>
  <c r="C65" i="29" s="1"/>
  <c r="C66" i="29" s="1"/>
  <c r="C67" i="29" s="1"/>
  <c r="C68" i="29" s="1"/>
  <c r="C69" i="29" s="1"/>
  <c r="C70" i="29" s="1"/>
  <c r="C71" i="29" s="1"/>
  <c r="C72" i="29" s="1"/>
  <c r="K11" i="29"/>
  <c r="I11" i="29"/>
  <c r="P154" i="28"/>
  <c r="O154" i="28"/>
  <c r="M154" i="28"/>
  <c r="P153" i="28"/>
  <c r="O153" i="28"/>
  <c r="M153" i="28"/>
  <c r="P152" i="28"/>
  <c r="O152" i="28"/>
  <c r="M152" i="28"/>
  <c r="P151" i="28"/>
  <c r="O151" i="28"/>
  <c r="M151" i="28"/>
  <c r="P150" i="28"/>
  <c r="O150" i="28"/>
  <c r="M150" i="28"/>
  <c r="P149" i="28"/>
  <c r="O149" i="28"/>
  <c r="M149" i="28"/>
  <c r="P148" i="28"/>
  <c r="O148" i="28"/>
  <c r="M148" i="28"/>
  <c r="P147" i="28"/>
  <c r="O147" i="28"/>
  <c r="M147" i="28"/>
  <c r="P146" i="28"/>
  <c r="O146" i="28"/>
  <c r="M146" i="28"/>
  <c r="P145" i="28"/>
  <c r="O145" i="28"/>
  <c r="M145" i="28"/>
  <c r="P144" i="28"/>
  <c r="O144" i="28"/>
  <c r="M144" i="28"/>
  <c r="P143" i="28"/>
  <c r="O143" i="28"/>
  <c r="M143" i="28"/>
  <c r="P142" i="28"/>
  <c r="O142" i="28"/>
  <c r="M142" i="28"/>
  <c r="P141" i="28"/>
  <c r="O141" i="28"/>
  <c r="M141" i="28"/>
  <c r="P140" i="28"/>
  <c r="O140" i="28"/>
  <c r="M140" i="28"/>
  <c r="P139" i="28"/>
  <c r="O139" i="28"/>
  <c r="M139" i="28"/>
  <c r="P138" i="28"/>
  <c r="O138" i="28"/>
  <c r="M138" i="28"/>
  <c r="P137" i="28"/>
  <c r="O137" i="28"/>
  <c r="M137" i="28"/>
  <c r="P136" i="28"/>
  <c r="O136" i="28"/>
  <c r="M136" i="28"/>
  <c r="P135" i="28"/>
  <c r="O135" i="28"/>
  <c r="M135" i="28"/>
  <c r="P134" i="28"/>
  <c r="O134" i="28"/>
  <c r="M134" i="28"/>
  <c r="P133" i="28"/>
  <c r="O133" i="28"/>
  <c r="M133" i="28"/>
  <c r="P132" i="28"/>
  <c r="O132" i="28"/>
  <c r="M132" i="28"/>
  <c r="P131" i="28"/>
  <c r="O131" i="28"/>
  <c r="M131" i="28"/>
  <c r="O130" i="28"/>
  <c r="M130" i="28"/>
  <c r="O129" i="28"/>
  <c r="M129" i="28"/>
  <c r="O128" i="28"/>
  <c r="M128" i="28"/>
  <c r="O127" i="28"/>
  <c r="M127" i="28"/>
  <c r="O126" i="28"/>
  <c r="M126" i="28"/>
  <c r="O125" i="28"/>
  <c r="M125" i="28"/>
  <c r="O124" i="28"/>
  <c r="M124" i="28"/>
  <c r="O123" i="28"/>
  <c r="M123" i="28"/>
  <c r="O122" i="28"/>
  <c r="M122" i="28"/>
  <c r="O121" i="28"/>
  <c r="M121" i="28"/>
  <c r="O120" i="28"/>
  <c r="M120" i="28"/>
  <c r="O119" i="28"/>
  <c r="M119" i="28"/>
  <c r="O118" i="28"/>
  <c r="M118" i="28"/>
  <c r="O117" i="28"/>
  <c r="M117" i="28"/>
  <c r="O116" i="28"/>
  <c r="M116" i="28"/>
  <c r="O115" i="28"/>
  <c r="M115" i="28"/>
  <c r="O114" i="28"/>
  <c r="M114" i="28"/>
  <c r="O113" i="28"/>
  <c r="M113" i="28"/>
  <c r="O112" i="28"/>
  <c r="M112" i="28"/>
  <c r="O111" i="28"/>
  <c r="M111" i="28"/>
  <c r="O110" i="28"/>
  <c r="M110" i="28"/>
  <c r="O109" i="28"/>
  <c r="M109" i="28"/>
  <c r="O108" i="28"/>
  <c r="M108" i="28"/>
  <c r="O107" i="28"/>
  <c r="M107" i="28"/>
  <c r="O105" i="28"/>
  <c r="O104" i="28"/>
  <c r="D96" i="28"/>
  <c r="D94" i="28"/>
  <c r="L93" i="28"/>
  <c r="J93" i="28"/>
  <c r="C99" i="28"/>
  <c r="D92" i="28"/>
  <c r="D91" i="28"/>
  <c r="D89" i="28"/>
  <c r="N72" i="28"/>
  <c r="L72" i="28"/>
  <c r="N71" i="28"/>
  <c r="L71" i="28"/>
  <c r="N70" i="28"/>
  <c r="L70" i="28"/>
  <c r="N69" i="28"/>
  <c r="L69" i="28"/>
  <c r="N68" i="28"/>
  <c r="L68" i="28"/>
  <c r="N67" i="28"/>
  <c r="L67" i="28"/>
  <c r="N66" i="28"/>
  <c r="L66" i="28"/>
  <c r="N65" i="28"/>
  <c r="L65" i="28"/>
  <c r="N64" i="28"/>
  <c r="L64" i="28"/>
  <c r="N63" i="28"/>
  <c r="L63" i="28"/>
  <c r="N62" i="28"/>
  <c r="L62" i="28"/>
  <c r="N61" i="28"/>
  <c r="L61" i="28"/>
  <c r="N60" i="28"/>
  <c r="L60" i="28"/>
  <c r="N59" i="28"/>
  <c r="L59" i="28"/>
  <c r="N58" i="28"/>
  <c r="L58" i="28"/>
  <c r="N57" i="28"/>
  <c r="L57" i="28"/>
  <c r="N56" i="28"/>
  <c r="L56" i="28"/>
  <c r="N55" i="28"/>
  <c r="L55" i="28"/>
  <c r="N54" i="28"/>
  <c r="L54" i="28"/>
  <c r="N53" i="28"/>
  <c r="L53" i="28"/>
  <c r="N52" i="28"/>
  <c r="L52" i="28"/>
  <c r="N51" i="28"/>
  <c r="L51" i="28"/>
  <c r="N50" i="28"/>
  <c r="L50" i="28"/>
  <c r="N49" i="28"/>
  <c r="L49" i="28"/>
  <c r="N48" i="28"/>
  <c r="L48" i="28"/>
  <c r="N47" i="28"/>
  <c r="L47" i="28"/>
  <c r="N46" i="28"/>
  <c r="L46" i="28"/>
  <c r="N45" i="28"/>
  <c r="L45" i="28"/>
  <c r="N44" i="28"/>
  <c r="L44" i="28"/>
  <c r="N43" i="28"/>
  <c r="L43" i="28"/>
  <c r="N42" i="28"/>
  <c r="L42" i="28"/>
  <c r="N41" i="28"/>
  <c r="L41" i="28"/>
  <c r="N40" i="28"/>
  <c r="L40" i="28"/>
  <c r="N39" i="28"/>
  <c r="L39" i="28"/>
  <c r="N38" i="28"/>
  <c r="L38" i="28"/>
  <c r="N37" i="28"/>
  <c r="L37" i="28"/>
  <c r="N36" i="28"/>
  <c r="L36" i="28"/>
  <c r="N35" i="28"/>
  <c r="L35" i="28"/>
  <c r="N34" i="28"/>
  <c r="L34" i="28"/>
  <c r="N33" i="28"/>
  <c r="L33" i="28"/>
  <c r="N32" i="28"/>
  <c r="L32" i="28"/>
  <c r="N31" i="28"/>
  <c r="L31" i="28"/>
  <c r="N30" i="28"/>
  <c r="L30" i="28"/>
  <c r="N29" i="28"/>
  <c r="L29" i="28"/>
  <c r="N28" i="28"/>
  <c r="L28" i="28"/>
  <c r="N27" i="28"/>
  <c r="L27" i="28"/>
  <c r="N25" i="28"/>
  <c r="N24" i="28"/>
  <c r="N23" i="28"/>
  <c r="N22" i="28"/>
  <c r="C17" i="28"/>
  <c r="C18" i="28" s="1"/>
  <c r="C19" i="28" s="1"/>
  <c r="C20" i="28"/>
  <c r="C21" i="28" s="1"/>
  <c r="C22" i="28" s="1"/>
  <c r="C23" i="28" s="1"/>
  <c r="C24" i="28" s="1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 s="1"/>
  <c r="C41" i="28" s="1"/>
  <c r="C42" i="28" s="1"/>
  <c r="C43" i="28" s="1"/>
  <c r="C44" i="28" s="1"/>
  <c r="C45" i="28" s="1"/>
  <c r="C46" i="28" s="1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C58" i="28" s="1"/>
  <c r="C59" i="28" s="1"/>
  <c r="C60" i="28" s="1"/>
  <c r="C61" i="28" s="1"/>
  <c r="C62" i="28" s="1"/>
  <c r="C63" i="28" s="1"/>
  <c r="C64" i="28" s="1"/>
  <c r="C65" i="28" s="1"/>
  <c r="C66" i="28" s="1"/>
  <c r="C67" i="28" s="1"/>
  <c r="C68" i="28" s="1"/>
  <c r="C69" i="28" s="1"/>
  <c r="C70" i="28" s="1"/>
  <c r="C71" i="28" s="1"/>
  <c r="C72" i="28" s="1"/>
  <c r="K11" i="28"/>
  <c r="I11" i="28"/>
  <c r="D94" i="27"/>
  <c r="D92" i="27"/>
  <c r="M17" i="27"/>
  <c r="N17" i="27" s="1"/>
  <c r="K17" i="27"/>
  <c r="L17" i="27" s="1"/>
  <c r="N101" i="25"/>
  <c r="O101" i="25" s="1"/>
  <c r="L101" i="25"/>
  <c r="M101" i="25" s="1"/>
  <c r="N100" i="25"/>
  <c r="O100" i="25" s="1"/>
  <c r="L100" i="25"/>
  <c r="M100" i="25" s="1"/>
  <c r="N99" i="25"/>
  <c r="O99" i="25" s="1"/>
  <c r="L99" i="25"/>
  <c r="M99" i="25" s="1"/>
  <c r="P99" i="25" s="1"/>
  <c r="M20" i="25"/>
  <c r="N20" i="25"/>
  <c r="K20" i="25"/>
  <c r="L20" i="25" s="1"/>
  <c r="D92" i="24"/>
  <c r="N100" i="23"/>
  <c r="O100" i="23" s="1"/>
  <c r="L100" i="23"/>
  <c r="M100" i="23" s="1"/>
  <c r="P100" i="23" s="1"/>
  <c r="M19" i="23"/>
  <c r="N19" i="23" s="1"/>
  <c r="K19" i="23"/>
  <c r="L19" i="23" s="1"/>
  <c r="N101" i="22"/>
  <c r="O101" i="22" s="1"/>
  <c r="P101" i="22" s="1"/>
  <c r="L101" i="22"/>
  <c r="M101" i="22" s="1"/>
  <c r="M20" i="22"/>
  <c r="N20" i="22" s="1"/>
  <c r="K20" i="22"/>
  <c r="L20" i="22" s="1"/>
  <c r="N104" i="11"/>
  <c r="O104" i="11" s="1"/>
  <c r="L104" i="11"/>
  <c r="M104" i="11" s="1"/>
  <c r="M23" i="11"/>
  <c r="N23" i="11" s="1"/>
  <c r="K23" i="11"/>
  <c r="L23" i="11" s="1"/>
  <c r="N105" i="10"/>
  <c r="O105" i="10" s="1"/>
  <c r="L105" i="10"/>
  <c r="M105" i="10" s="1"/>
  <c r="M24" i="10"/>
  <c r="N24" i="10"/>
  <c r="K24" i="10"/>
  <c r="L24" i="10" s="1"/>
  <c r="N104" i="9"/>
  <c r="O104" i="9" s="1"/>
  <c r="L104" i="9"/>
  <c r="M104" i="9"/>
  <c r="M23" i="9"/>
  <c r="N23" i="9" s="1"/>
  <c r="K23" i="9"/>
  <c r="L23" i="9" s="1"/>
  <c r="N103" i="8"/>
  <c r="O103" i="8" s="1"/>
  <c r="L103" i="8"/>
  <c r="M103" i="8" s="1"/>
  <c r="P103" i="8" s="1"/>
  <c r="M22" i="8"/>
  <c r="N22" i="8" s="1"/>
  <c r="K22" i="8"/>
  <c r="L22" i="8" s="1"/>
  <c r="N105" i="7"/>
  <c r="O105" i="7" s="1"/>
  <c r="P105" i="7" s="1"/>
  <c r="L105" i="7"/>
  <c r="M105" i="7" s="1"/>
  <c r="M24" i="7"/>
  <c r="N24" i="7" s="1"/>
  <c r="O24" i="7" s="1"/>
  <c r="K24" i="7"/>
  <c r="L24" i="7" s="1"/>
  <c r="N103" i="6"/>
  <c r="O103" i="6" s="1"/>
  <c r="P103" i="6" s="1"/>
  <c r="L103" i="6"/>
  <c r="M103" i="6" s="1"/>
  <c r="M22" i="6"/>
  <c r="N22" i="6" s="1"/>
  <c r="O22" i="6" s="1"/>
  <c r="K22" i="6"/>
  <c r="L22" i="6" s="1"/>
  <c r="M21" i="5"/>
  <c r="N21" i="5" s="1"/>
  <c r="K21" i="5"/>
  <c r="L21" i="5" s="1"/>
  <c r="N102" i="4"/>
  <c r="O102" i="4" s="1"/>
  <c r="L102" i="4"/>
  <c r="M102" i="4" s="1"/>
  <c r="M21" i="4"/>
  <c r="N21" i="4" s="1"/>
  <c r="K21" i="4"/>
  <c r="L21" i="4"/>
  <c r="N102" i="3"/>
  <c r="O102" i="3" s="1"/>
  <c r="L102" i="3"/>
  <c r="M102" i="3" s="1"/>
  <c r="M21" i="3"/>
  <c r="N21" i="3" s="1"/>
  <c r="L21" i="3"/>
  <c r="K21" i="3"/>
  <c r="P86" i="6"/>
  <c r="O5" i="6"/>
  <c r="P87" i="6"/>
  <c r="J153" i="25"/>
  <c r="J154" i="25"/>
  <c r="J152" i="25"/>
  <c r="J151" i="25"/>
  <c r="J150" i="25"/>
  <c r="J149" i="25"/>
  <c r="J148" i="25"/>
  <c r="J147" i="25"/>
  <c r="J146" i="25"/>
  <c r="J145" i="25"/>
  <c r="J144" i="25"/>
  <c r="J143" i="25"/>
  <c r="J142" i="25"/>
  <c r="J141" i="25"/>
  <c r="J140" i="25"/>
  <c r="J139" i="25"/>
  <c r="J138" i="25"/>
  <c r="J137" i="25"/>
  <c r="J136" i="25"/>
  <c r="J135" i="25"/>
  <c r="J134" i="25"/>
  <c r="J133" i="25"/>
  <c r="M19" i="25"/>
  <c r="N19" i="25"/>
  <c r="O19" i="25" s="1"/>
  <c r="M18" i="25"/>
  <c r="N18" i="25" s="1"/>
  <c r="K19" i="25"/>
  <c r="L19" i="25"/>
  <c r="K18" i="25"/>
  <c r="L18" i="25" s="1"/>
  <c r="I19" i="25"/>
  <c r="C17" i="25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 s="1"/>
  <c r="C34" i="25" s="1"/>
  <c r="C35" i="25" s="1"/>
  <c r="C36" i="25" s="1"/>
  <c r="C37" i="25" s="1"/>
  <c r="C38" i="25" s="1"/>
  <c r="C39" i="25" s="1"/>
  <c r="C40" i="25" s="1"/>
  <c r="C41" i="25" s="1"/>
  <c r="C42" i="25" s="1"/>
  <c r="C43" i="25" s="1"/>
  <c r="C44" i="25" s="1"/>
  <c r="C45" i="25" s="1"/>
  <c r="C46" i="25" s="1"/>
  <c r="C47" i="25" s="1"/>
  <c r="C48" i="25" s="1"/>
  <c r="C49" i="25" s="1"/>
  <c r="C50" i="25" s="1"/>
  <c r="C51" i="25" s="1"/>
  <c r="C52" i="25" s="1"/>
  <c r="C53" i="25" s="1"/>
  <c r="C54" i="25" s="1"/>
  <c r="C55" i="25" s="1"/>
  <c r="C56" i="25" s="1"/>
  <c r="C57" i="25" s="1"/>
  <c r="C58" i="25" s="1"/>
  <c r="C59" i="25" s="1"/>
  <c r="C60" i="25" s="1"/>
  <c r="C61" i="25" s="1"/>
  <c r="C62" i="25" s="1"/>
  <c r="C63" i="25" s="1"/>
  <c r="C64" i="25" s="1"/>
  <c r="C65" i="25" s="1"/>
  <c r="C66" i="25" s="1"/>
  <c r="C67" i="25" s="1"/>
  <c r="C68" i="25" s="1"/>
  <c r="C69" i="25" s="1"/>
  <c r="C70" i="25" s="1"/>
  <c r="C71" i="25" s="1"/>
  <c r="C72" i="25" s="1"/>
  <c r="J131" i="24"/>
  <c r="J132" i="24"/>
  <c r="J133" i="24"/>
  <c r="J134" i="24"/>
  <c r="J135" i="24"/>
  <c r="J136" i="24"/>
  <c r="J137" i="24"/>
  <c r="J138" i="24"/>
  <c r="J139" i="24"/>
  <c r="J140" i="24"/>
  <c r="J141" i="24"/>
  <c r="J142" i="24"/>
  <c r="J143" i="24"/>
  <c r="J144" i="24"/>
  <c r="J145" i="24"/>
  <c r="J146" i="24"/>
  <c r="C17" i="24"/>
  <c r="C18" i="24" s="1"/>
  <c r="C19" i="24" s="1"/>
  <c r="C20" i="24" s="1"/>
  <c r="C21" i="24" s="1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  <c r="C40" i="24" s="1"/>
  <c r="C41" i="24" s="1"/>
  <c r="C42" i="24" s="1"/>
  <c r="C43" i="24" s="1"/>
  <c r="C44" i="24" s="1"/>
  <c r="C45" i="24" s="1"/>
  <c r="C46" i="24" s="1"/>
  <c r="C47" i="24" s="1"/>
  <c r="C48" i="24" s="1"/>
  <c r="C49" i="24" s="1"/>
  <c r="C50" i="24" s="1"/>
  <c r="C51" i="24" s="1"/>
  <c r="C52" i="24" s="1"/>
  <c r="C53" i="24" s="1"/>
  <c r="C54" i="24" s="1"/>
  <c r="C55" i="24" s="1"/>
  <c r="C56" i="24" s="1"/>
  <c r="C57" i="24" s="1"/>
  <c r="C58" i="24" s="1"/>
  <c r="C59" i="24" s="1"/>
  <c r="C60" i="24" s="1"/>
  <c r="C61" i="24" s="1"/>
  <c r="C62" i="24" s="1"/>
  <c r="C63" i="24" s="1"/>
  <c r="C64" i="24" s="1"/>
  <c r="C65" i="24" s="1"/>
  <c r="C66" i="24" s="1"/>
  <c r="C67" i="24" s="1"/>
  <c r="C68" i="24" s="1"/>
  <c r="C69" i="24" s="1"/>
  <c r="C70" i="24" s="1"/>
  <c r="C71" i="24" s="1"/>
  <c r="C72" i="24" s="1"/>
  <c r="W31" i="17"/>
  <c r="P31" i="17"/>
  <c r="P154" i="27"/>
  <c r="O154" i="27"/>
  <c r="M154" i="27"/>
  <c r="P153" i="27"/>
  <c r="O153" i="27"/>
  <c r="M153" i="27"/>
  <c r="P152" i="27"/>
  <c r="O152" i="27"/>
  <c r="M152" i="27"/>
  <c r="P151" i="27"/>
  <c r="O151" i="27"/>
  <c r="M151" i="27"/>
  <c r="P150" i="27"/>
  <c r="O150" i="27"/>
  <c r="M150" i="27"/>
  <c r="P149" i="27"/>
  <c r="O149" i="27"/>
  <c r="M149" i="27"/>
  <c r="P148" i="27"/>
  <c r="O148" i="27"/>
  <c r="M148" i="27"/>
  <c r="P147" i="27"/>
  <c r="O147" i="27"/>
  <c r="M147" i="27"/>
  <c r="P146" i="27"/>
  <c r="O146" i="27"/>
  <c r="M146" i="27"/>
  <c r="P145" i="27"/>
  <c r="O145" i="27"/>
  <c r="M145" i="27"/>
  <c r="P144" i="27"/>
  <c r="O144" i="27"/>
  <c r="M144" i="27"/>
  <c r="P143" i="27"/>
  <c r="O143" i="27"/>
  <c r="M143" i="27"/>
  <c r="P142" i="27"/>
  <c r="O142" i="27"/>
  <c r="M142" i="27"/>
  <c r="P141" i="27"/>
  <c r="O141" i="27"/>
  <c r="M141" i="27"/>
  <c r="P140" i="27"/>
  <c r="O140" i="27"/>
  <c r="M140" i="27"/>
  <c r="P139" i="27"/>
  <c r="O139" i="27"/>
  <c r="M139" i="27"/>
  <c r="P138" i="27"/>
  <c r="O138" i="27"/>
  <c r="M138" i="27"/>
  <c r="P137" i="27"/>
  <c r="O137" i="27"/>
  <c r="M137" i="27"/>
  <c r="P136" i="27"/>
  <c r="O136" i="27"/>
  <c r="M136" i="27"/>
  <c r="P135" i="27"/>
  <c r="O135" i="27"/>
  <c r="M135" i="27"/>
  <c r="P134" i="27"/>
  <c r="O134" i="27"/>
  <c r="M134" i="27"/>
  <c r="P133" i="27"/>
  <c r="O133" i="27"/>
  <c r="M133" i="27"/>
  <c r="P132" i="27"/>
  <c r="O132" i="27"/>
  <c r="M132" i="27"/>
  <c r="P131" i="27"/>
  <c r="O131" i="27"/>
  <c r="M131" i="27"/>
  <c r="O130" i="27"/>
  <c r="M130" i="27"/>
  <c r="O129" i="27"/>
  <c r="M129" i="27"/>
  <c r="O128" i="27"/>
  <c r="M128" i="27"/>
  <c r="O127" i="27"/>
  <c r="M127" i="27"/>
  <c r="O126" i="27"/>
  <c r="M126" i="27"/>
  <c r="O125" i="27"/>
  <c r="M125" i="27"/>
  <c r="O124" i="27"/>
  <c r="M124" i="27"/>
  <c r="O123" i="27"/>
  <c r="M123" i="27"/>
  <c r="O122" i="27"/>
  <c r="M122" i="27"/>
  <c r="O121" i="27"/>
  <c r="M121" i="27"/>
  <c r="O120" i="27"/>
  <c r="M120" i="27"/>
  <c r="O119" i="27"/>
  <c r="M119" i="27"/>
  <c r="O118" i="27"/>
  <c r="M118" i="27"/>
  <c r="O117" i="27"/>
  <c r="M117" i="27"/>
  <c r="O116" i="27"/>
  <c r="M116" i="27"/>
  <c r="O115" i="27"/>
  <c r="M115" i="27"/>
  <c r="O114" i="27"/>
  <c r="M114" i="27"/>
  <c r="O113" i="27"/>
  <c r="M113" i="27"/>
  <c r="O112" i="27"/>
  <c r="M112" i="27"/>
  <c r="O111" i="27"/>
  <c r="M111" i="27"/>
  <c r="O110" i="27"/>
  <c r="M110" i="27"/>
  <c r="O109" i="27"/>
  <c r="M109" i="27"/>
  <c r="O108" i="27"/>
  <c r="M108" i="27"/>
  <c r="O106" i="27"/>
  <c r="O105" i="27"/>
  <c r="D96" i="27"/>
  <c r="L93" i="27"/>
  <c r="J93" i="27"/>
  <c r="D91" i="27"/>
  <c r="D89" i="27"/>
  <c r="N72" i="27"/>
  <c r="L72" i="27"/>
  <c r="N71" i="27"/>
  <c r="L71" i="27"/>
  <c r="N70" i="27"/>
  <c r="L70" i="27"/>
  <c r="N69" i="27"/>
  <c r="L69" i="27"/>
  <c r="N68" i="27"/>
  <c r="L68" i="27"/>
  <c r="N67" i="27"/>
  <c r="L67" i="27"/>
  <c r="N66" i="27"/>
  <c r="L66" i="27"/>
  <c r="N65" i="27"/>
  <c r="L65" i="27"/>
  <c r="N64" i="27"/>
  <c r="L64" i="27"/>
  <c r="N63" i="27"/>
  <c r="L63" i="27"/>
  <c r="N62" i="27"/>
  <c r="L62" i="27"/>
  <c r="N61" i="27"/>
  <c r="L61" i="27"/>
  <c r="N60" i="27"/>
  <c r="L60" i="27"/>
  <c r="N59" i="27"/>
  <c r="L59" i="27"/>
  <c r="N58" i="27"/>
  <c r="L58" i="27"/>
  <c r="N57" i="27"/>
  <c r="L57" i="27"/>
  <c r="N56" i="27"/>
  <c r="L56" i="27"/>
  <c r="N55" i="27"/>
  <c r="L55" i="27"/>
  <c r="N54" i="27"/>
  <c r="L54" i="27"/>
  <c r="N53" i="27"/>
  <c r="L53" i="27"/>
  <c r="N52" i="27"/>
  <c r="L52" i="27"/>
  <c r="N51" i="27"/>
  <c r="L51" i="27"/>
  <c r="N50" i="27"/>
  <c r="L50" i="27"/>
  <c r="N49" i="27"/>
  <c r="L49" i="27"/>
  <c r="N48" i="27"/>
  <c r="L48" i="27"/>
  <c r="N47" i="27"/>
  <c r="L47" i="27"/>
  <c r="N46" i="27"/>
  <c r="L46" i="27"/>
  <c r="N45" i="27"/>
  <c r="L45" i="27"/>
  <c r="N44" i="27"/>
  <c r="L44" i="27"/>
  <c r="N43" i="27"/>
  <c r="L43" i="27"/>
  <c r="N42" i="27"/>
  <c r="L42" i="27"/>
  <c r="N41" i="27"/>
  <c r="L41" i="27"/>
  <c r="N40" i="27"/>
  <c r="L40" i="27"/>
  <c r="N39" i="27"/>
  <c r="L39" i="27"/>
  <c r="N38" i="27"/>
  <c r="L38" i="27"/>
  <c r="N37" i="27"/>
  <c r="L37" i="27"/>
  <c r="N36" i="27"/>
  <c r="L36" i="27"/>
  <c r="N35" i="27"/>
  <c r="L35" i="27"/>
  <c r="N34" i="27"/>
  <c r="L34" i="27"/>
  <c r="N33" i="27"/>
  <c r="L33" i="27"/>
  <c r="N32" i="27"/>
  <c r="L32" i="27"/>
  <c r="N31" i="27"/>
  <c r="L31" i="27"/>
  <c r="N30" i="27"/>
  <c r="L30" i="27"/>
  <c r="N29" i="27"/>
  <c r="L29" i="27"/>
  <c r="N28" i="27"/>
  <c r="L28" i="27"/>
  <c r="N26" i="27"/>
  <c r="N25" i="27"/>
  <c r="N24" i="27"/>
  <c r="N23" i="27"/>
  <c r="O23" i="27" s="1"/>
  <c r="C17" i="27"/>
  <c r="C18" i="27" s="1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 s="1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6" i="27" s="1"/>
  <c r="C47" i="27" s="1"/>
  <c r="C48" i="27" s="1"/>
  <c r="C49" i="27" s="1"/>
  <c r="C50" i="27" s="1"/>
  <c r="C51" i="27" s="1"/>
  <c r="C52" i="27" s="1"/>
  <c r="C53" i="27" s="1"/>
  <c r="C54" i="27" s="1"/>
  <c r="C55" i="27" s="1"/>
  <c r="C56" i="27" s="1"/>
  <c r="C57" i="27" s="1"/>
  <c r="C58" i="27" s="1"/>
  <c r="C59" i="27" s="1"/>
  <c r="C60" i="27" s="1"/>
  <c r="C61" i="27" s="1"/>
  <c r="C62" i="27" s="1"/>
  <c r="C63" i="27" s="1"/>
  <c r="C64" i="27" s="1"/>
  <c r="C65" i="27" s="1"/>
  <c r="C66" i="27" s="1"/>
  <c r="C67" i="27" s="1"/>
  <c r="C68" i="27" s="1"/>
  <c r="C69" i="27" s="1"/>
  <c r="C70" i="27" s="1"/>
  <c r="C71" i="27" s="1"/>
  <c r="C72" i="27" s="1"/>
  <c r="K11" i="27"/>
  <c r="I11" i="27"/>
  <c r="M17" i="25"/>
  <c r="N17" i="25" s="1"/>
  <c r="K17" i="25"/>
  <c r="L17" i="25" s="1"/>
  <c r="M17" i="24"/>
  <c r="N17" i="24" s="1"/>
  <c r="K17" i="24"/>
  <c r="N99" i="23"/>
  <c r="O99" i="23" s="1"/>
  <c r="L99" i="23"/>
  <c r="M18" i="23"/>
  <c r="N18" i="23" s="1"/>
  <c r="O18" i="23" s="1"/>
  <c r="K18" i="23"/>
  <c r="L18" i="23" s="1"/>
  <c r="N100" i="22"/>
  <c r="O100" i="22" s="1"/>
  <c r="L100" i="22"/>
  <c r="M19" i="22"/>
  <c r="N19" i="22" s="1"/>
  <c r="K19" i="22"/>
  <c r="L19" i="22" s="1"/>
  <c r="N103" i="11"/>
  <c r="L103" i="11"/>
  <c r="M103" i="11" s="1"/>
  <c r="M22" i="11"/>
  <c r="N22" i="11" s="1"/>
  <c r="K22" i="11"/>
  <c r="N104" i="10"/>
  <c r="L104" i="10"/>
  <c r="M104" i="10" s="1"/>
  <c r="M23" i="10"/>
  <c r="N23" i="10" s="1"/>
  <c r="K23" i="10"/>
  <c r="N103" i="9"/>
  <c r="L103" i="9"/>
  <c r="M22" i="9"/>
  <c r="N22" i="9" s="1"/>
  <c r="K22" i="9"/>
  <c r="L22" i="9" s="1"/>
  <c r="N102" i="8"/>
  <c r="O102" i="8" s="1"/>
  <c r="L102" i="8"/>
  <c r="M21" i="8"/>
  <c r="N21" i="8" s="1"/>
  <c r="K21" i="8"/>
  <c r="N104" i="7"/>
  <c r="O104" i="7" s="1"/>
  <c r="L104" i="7"/>
  <c r="M23" i="7"/>
  <c r="N23" i="7" s="1"/>
  <c r="K23" i="7"/>
  <c r="N102" i="6"/>
  <c r="L102" i="6"/>
  <c r="M21" i="6"/>
  <c r="N21" i="6" s="1"/>
  <c r="K21" i="6"/>
  <c r="N101" i="5"/>
  <c r="L101" i="5"/>
  <c r="M20" i="5"/>
  <c r="N20" i="5" s="1"/>
  <c r="K20" i="5"/>
  <c r="N101" i="4"/>
  <c r="O101" i="4" s="1"/>
  <c r="L101" i="4"/>
  <c r="M20" i="4"/>
  <c r="N20" i="4" s="1"/>
  <c r="K20" i="4"/>
  <c r="N101" i="3"/>
  <c r="O101" i="3" s="1"/>
  <c r="L101" i="3"/>
  <c r="M20" i="3"/>
  <c r="N20" i="3"/>
  <c r="K20" i="3"/>
  <c r="L20" i="3" s="1"/>
  <c r="I10" i="45"/>
  <c r="F81" i="2"/>
  <c r="J94" i="5" s="1"/>
  <c r="J95" i="5" s="1"/>
  <c r="F87" i="2"/>
  <c r="F86" i="2"/>
  <c r="C17" i="3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K19" i="3"/>
  <c r="L19" i="3" s="1"/>
  <c r="P18" i="17"/>
  <c r="C17" i="4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K19" i="4"/>
  <c r="P19" i="17"/>
  <c r="C17" i="5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K19" i="5"/>
  <c r="L19" i="5" s="1"/>
  <c r="P20" i="17"/>
  <c r="C17" i="6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K20" i="6"/>
  <c r="P21" i="17"/>
  <c r="C17" i="7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K22" i="7"/>
  <c r="L22" i="7" s="1"/>
  <c r="P22" i="17"/>
  <c r="C17" i="8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K20" i="8"/>
  <c r="P23" i="17"/>
  <c r="C17" i="9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K21" i="9"/>
  <c r="L21" i="9" s="1"/>
  <c r="P24" i="17"/>
  <c r="C17" i="10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K22" i="10"/>
  <c r="L22" i="10" s="1"/>
  <c r="P25" i="17"/>
  <c r="C17" i="1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K21" i="11"/>
  <c r="L21" i="11" s="1"/>
  <c r="P26" i="17"/>
  <c r="C17" i="22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K18" i="22"/>
  <c r="L18" i="22" s="1"/>
  <c r="O18" i="22" s="1"/>
  <c r="P27" i="17"/>
  <c r="C17" i="23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 s="1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C68" i="23" s="1"/>
  <c r="C69" i="23" s="1"/>
  <c r="C70" i="23" s="1"/>
  <c r="C71" i="23" s="1"/>
  <c r="C72" i="23" s="1"/>
  <c r="K17" i="23"/>
  <c r="P28" i="17"/>
  <c r="P29" i="17"/>
  <c r="P30" i="17"/>
  <c r="W29" i="17"/>
  <c r="W30" i="17"/>
  <c r="C17" i="13"/>
  <c r="M19" i="3"/>
  <c r="M19" i="4"/>
  <c r="M19" i="5"/>
  <c r="M20" i="6"/>
  <c r="M22" i="7"/>
  <c r="N22" i="7" s="1"/>
  <c r="M20" i="8"/>
  <c r="M21" i="9"/>
  <c r="N21" i="9" s="1"/>
  <c r="M22" i="10"/>
  <c r="N22" i="10" s="1"/>
  <c r="M21" i="11"/>
  <c r="N21" i="11" s="1"/>
  <c r="O21" i="11" s="1"/>
  <c r="M18" i="22"/>
  <c r="N18" i="22" s="1"/>
  <c r="M17" i="23"/>
  <c r="N17" i="23" s="1"/>
  <c r="F81" i="1"/>
  <c r="F86" i="1"/>
  <c r="F90" i="1"/>
  <c r="P1" i="25"/>
  <c r="P83" i="25" s="1"/>
  <c r="I11" i="25"/>
  <c r="K11" i="25"/>
  <c r="N27" i="25"/>
  <c r="N28" i="25"/>
  <c r="N29" i="25"/>
  <c r="L31" i="25"/>
  <c r="N31" i="25"/>
  <c r="L32" i="25"/>
  <c r="N32" i="25"/>
  <c r="L33" i="25"/>
  <c r="N33" i="25"/>
  <c r="L34" i="25"/>
  <c r="N34" i="25"/>
  <c r="L35" i="25"/>
  <c r="N35" i="25"/>
  <c r="L36" i="25"/>
  <c r="N36" i="25"/>
  <c r="L37" i="25"/>
  <c r="N37" i="25"/>
  <c r="L38" i="25"/>
  <c r="N38" i="25"/>
  <c r="L39" i="25"/>
  <c r="N39" i="25"/>
  <c r="L40" i="25"/>
  <c r="N40" i="25"/>
  <c r="L41" i="25"/>
  <c r="N41" i="25"/>
  <c r="L42" i="25"/>
  <c r="N42" i="25"/>
  <c r="L43" i="25"/>
  <c r="N43" i="25"/>
  <c r="L44" i="25"/>
  <c r="N44" i="25"/>
  <c r="L45" i="25"/>
  <c r="N45" i="25"/>
  <c r="L46" i="25"/>
  <c r="N46" i="25"/>
  <c r="L47" i="25"/>
  <c r="N47" i="25"/>
  <c r="L48" i="25"/>
  <c r="N48" i="25"/>
  <c r="L49" i="25"/>
  <c r="N49" i="25"/>
  <c r="L50" i="25"/>
  <c r="N50" i="25"/>
  <c r="L51" i="25"/>
  <c r="N51" i="25"/>
  <c r="L52" i="25"/>
  <c r="N52" i="25"/>
  <c r="L53" i="25"/>
  <c r="N53" i="25"/>
  <c r="L54" i="25"/>
  <c r="N54" i="25"/>
  <c r="L55" i="25"/>
  <c r="N55" i="25"/>
  <c r="L56" i="25"/>
  <c r="N56" i="25"/>
  <c r="L57" i="25"/>
  <c r="N57" i="25"/>
  <c r="L58" i="25"/>
  <c r="N58" i="25"/>
  <c r="L59" i="25"/>
  <c r="N59" i="25"/>
  <c r="L60" i="25"/>
  <c r="N60" i="25"/>
  <c r="L61" i="25"/>
  <c r="N61" i="25"/>
  <c r="L62" i="25"/>
  <c r="N62" i="25"/>
  <c r="L63" i="25"/>
  <c r="N63" i="25"/>
  <c r="L64" i="25"/>
  <c r="N64" i="25"/>
  <c r="L65" i="25"/>
  <c r="N65" i="25"/>
  <c r="L66" i="25"/>
  <c r="N66" i="25"/>
  <c r="L67" i="25"/>
  <c r="N67" i="25"/>
  <c r="L68" i="25"/>
  <c r="N68" i="25"/>
  <c r="L69" i="25"/>
  <c r="N69" i="25"/>
  <c r="L70" i="25"/>
  <c r="N70" i="25"/>
  <c r="L71" i="25"/>
  <c r="N71" i="25"/>
  <c r="L72" i="25"/>
  <c r="N72" i="25"/>
  <c r="D89" i="25"/>
  <c r="D90" i="25"/>
  <c r="D91" i="25"/>
  <c r="J93" i="25"/>
  <c r="L93" i="25"/>
  <c r="D96" i="25"/>
  <c r="M111" i="25"/>
  <c r="P111" i="25" s="1"/>
  <c r="M112" i="25"/>
  <c r="P112" i="25" s="1"/>
  <c r="M113" i="25"/>
  <c r="P113" i="25" s="1"/>
  <c r="M114" i="25"/>
  <c r="P114" i="25" s="1"/>
  <c r="M115" i="25"/>
  <c r="P115" i="25" s="1"/>
  <c r="M116" i="25"/>
  <c r="P116" i="25" s="1"/>
  <c r="M117" i="25"/>
  <c r="P117" i="25" s="1"/>
  <c r="M118" i="25"/>
  <c r="P118" i="25" s="1"/>
  <c r="M119" i="25"/>
  <c r="P119" i="25" s="1"/>
  <c r="M120" i="25"/>
  <c r="P120" i="25" s="1"/>
  <c r="M121" i="25"/>
  <c r="P121" i="25" s="1"/>
  <c r="M122" i="25"/>
  <c r="P122" i="25" s="1"/>
  <c r="M123" i="25"/>
  <c r="P123" i="25" s="1"/>
  <c r="M124" i="25"/>
  <c r="P124" i="25" s="1"/>
  <c r="M125" i="25"/>
  <c r="P125" i="25" s="1"/>
  <c r="M126" i="25"/>
  <c r="P126" i="25" s="1"/>
  <c r="M127" i="25"/>
  <c r="P127" i="25" s="1"/>
  <c r="M128" i="25"/>
  <c r="P128" i="25" s="1"/>
  <c r="M129" i="25"/>
  <c r="P129" i="25" s="1"/>
  <c r="M130" i="25"/>
  <c r="P130" i="25" s="1"/>
  <c r="M131" i="25"/>
  <c r="P131" i="25" s="1"/>
  <c r="M132" i="25"/>
  <c r="P132" i="25" s="1"/>
  <c r="M133" i="25"/>
  <c r="P133" i="25" s="1"/>
  <c r="M134" i="25"/>
  <c r="P134" i="25" s="1"/>
  <c r="M135" i="25"/>
  <c r="P135" i="25" s="1"/>
  <c r="M136" i="25"/>
  <c r="P136" i="25" s="1"/>
  <c r="M137" i="25"/>
  <c r="P137" i="25" s="1"/>
  <c r="M138" i="25"/>
  <c r="P138" i="25" s="1"/>
  <c r="M139" i="25"/>
  <c r="P139" i="25" s="1"/>
  <c r="M140" i="25"/>
  <c r="P140" i="25" s="1"/>
  <c r="M141" i="25"/>
  <c r="P141" i="25" s="1"/>
  <c r="M142" i="25"/>
  <c r="P142" i="25" s="1"/>
  <c r="M143" i="25"/>
  <c r="P143" i="25" s="1"/>
  <c r="M144" i="25"/>
  <c r="P144" i="25" s="1"/>
  <c r="M145" i="25"/>
  <c r="P145" i="25" s="1"/>
  <c r="M146" i="25"/>
  <c r="P146" i="25" s="1"/>
  <c r="M147" i="25"/>
  <c r="P147" i="25" s="1"/>
  <c r="M148" i="25"/>
  <c r="P148" i="25" s="1"/>
  <c r="M149" i="25"/>
  <c r="P149" i="25" s="1"/>
  <c r="M150" i="25"/>
  <c r="P150" i="25" s="1"/>
  <c r="M151" i="25"/>
  <c r="P151" i="25" s="1"/>
  <c r="M152" i="25"/>
  <c r="P152" i="25" s="1"/>
  <c r="M153" i="25"/>
  <c r="P153" i="25" s="1"/>
  <c r="M154" i="25"/>
  <c r="P154" i="25" s="1"/>
  <c r="N99" i="22"/>
  <c r="L99" i="22"/>
  <c r="M99" i="22" s="1"/>
  <c r="N102" i="11"/>
  <c r="O102" i="11" s="1"/>
  <c r="P102" i="11" s="1"/>
  <c r="L102" i="11"/>
  <c r="M102" i="11" s="1"/>
  <c r="N103" i="10"/>
  <c r="L103" i="10"/>
  <c r="M103" i="10" s="1"/>
  <c r="N102" i="9"/>
  <c r="O102" i="9" s="1"/>
  <c r="P102" i="9" s="1"/>
  <c r="L102" i="9"/>
  <c r="M102" i="9" s="1"/>
  <c r="N101" i="8"/>
  <c r="L101" i="8"/>
  <c r="M101" i="8" s="1"/>
  <c r="N103" i="7"/>
  <c r="O103" i="7" s="1"/>
  <c r="P103" i="7" s="1"/>
  <c r="L103" i="7"/>
  <c r="M103" i="7" s="1"/>
  <c r="N101" i="6"/>
  <c r="L101" i="6"/>
  <c r="N100" i="5"/>
  <c r="O100" i="5" s="1"/>
  <c r="L100" i="5"/>
  <c r="N100" i="4"/>
  <c r="L100" i="4"/>
  <c r="P1" i="24"/>
  <c r="P83" i="24" s="1"/>
  <c r="I11" i="24"/>
  <c r="K11" i="24"/>
  <c r="L17" i="24"/>
  <c r="N25" i="24"/>
  <c r="N26" i="24"/>
  <c r="N27" i="24"/>
  <c r="L29" i="24"/>
  <c r="N29" i="24"/>
  <c r="L30" i="24"/>
  <c r="N30" i="24"/>
  <c r="L31" i="24"/>
  <c r="N31" i="24"/>
  <c r="L32" i="24"/>
  <c r="N32" i="24"/>
  <c r="L33" i="24"/>
  <c r="N33" i="24"/>
  <c r="L34" i="24"/>
  <c r="N34" i="24"/>
  <c r="L35" i="24"/>
  <c r="N35" i="24"/>
  <c r="L36" i="24"/>
  <c r="N36" i="24"/>
  <c r="L37" i="24"/>
  <c r="N37" i="24"/>
  <c r="L38" i="24"/>
  <c r="N38" i="24"/>
  <c r="L39" i="24"/>
  <c r="N39" i="24"/>
  <c r="L40" i="24"/>
  <c r="N40" i="24"/>
  <c r="L41" i="24"/>
  <c r="N41" i="24"/>
  <c r="L42" i="24"/>
  <c r="N42" i="24"/>
  <c r="L43" i="24"/>
  <c r="N43" i="24"/>
  <c r="L44" i="24"/>
  <c r="N44" i="24"/>
  <c r="L45" i="24"/>
  <c r="N45" i="24"/>
  <c r="L46" i="24"/>
  <c r="N46" i="24"/>
  <c r="L47" i="24"/>
  <c r="N47" i="24"/>
  <c r="L48" i="24"/>
  <c r="N48" i="24"/>
  <c r="L49" i="24"/>
  <c r="N49" i="24"/>
  <c r="L50" i="24"/>
  <c r="N50" i="24"/>
  <c r="L51" i="24"/>
  <c r="N51" i="24"/>
  <c r="L52" i="24"/>
  <c r="N52" i="24"/>
  <c r="L53" i="24"/>
  <c r="N53" i="24"/>
  <c r="L54" i="24"/>
  <c r="N54" i="24"/>
  <c r="L55" i="24"/>
  <c r="N55" i="24"/>
  <c r="L56" i="24"/>
  <c r="N56" i="24"/>
  <c r="L57" i="24"/>
  <c r="N57" i="24"/>
  <c r="L58" i="24"/>
  <c r="N58" i="24"/>
  <c r="L59" i="24"/>
  <c r="N59" i="24"/>
  <c r="L60" i="24"/>
  <c r="N60" i="24"/>
  <c r="L61" i="24"/>
  <c r="N61" i="24"/>
  <c r="L62" i="24"/>
  <c r="N62" i="24"/>
  <c r="L63" i="24"/>
  <c r="N63" i="24"/>
  <c r="L64" i="24"/>
  <c r="N64" i="24"/>
  <c r="L65" i="24"/>
  <c r="N65" i="24"/>
  <c r="L66" i="24"/>
  <c r="N66" i="24"/>
  <c r="L67" i="24"/>
  <c r="N67" i="24"/>
  <c r="L68" i="24"/>
  <c r="N68" i="24"/>
  <c r="L69" i="24"/>
  <c r="N69" i="24"/>
  <c r="L70" i="24"/>
  <c r="N70" i="24"/>
  <c r="L71" i="24"/>
  <c r="N71" i="24"/>
  <c r="L72" i="24"/>
  <c r="N72" i="24"/>
  <c r="D89" i="24"/>
  <c r="D90" i="24"/>
  <c r="D91" i="24"/>
  <c r="J93" i="24"/>
  <c r="L93" i="24"/>
  <c r="D96" i="24"/>
  <c r="O106" i="24"/>
  <c r="O107" i="24"/>
  <c r="M109" i="24"/>
  <c r="O109" i="24"/>
  <c r="M110" i="24"/>
  <c r="O110" i="24"/>
  <c r="M111" i="24"/>
  <c r="O111" i="24"/>
  <c r="M112" i="24"/>
  <c r="O112" i="24"/>
  <c r="M113" i="24"/>
  <c r="O113" i="24"/>
  <c r="M114" i="24"/>
  <c r="O114" i="24"/>
  <c r="M115" i="24"/>
  <c r="O115" i="24"/>
  <c r="M116" i="24"/>
  <c r="O116" i="24"/>
  <c r="M117" i="24"/>
  <c r="O117" i="24"/>
  <c r="M118" i="24"/>
  <c r="O118" i="24"/>
  <c r="M119" i="24"/>
  <c r="O119" i="24"/>
  <c r="M120" i="24"/>
  <c r="O120" i="24"/>
  <c r="M121" i="24"/>
  <c r="O121" i="24"/>
  <c r="M122" i="24"/>
  <c r="O122" i="24"/>
  <c r="M123" i="24"/>
  <c r="O123" i="24"/>
  <c r="M124" i="24"/>
  <c r="O124" i="24"/>
  <c r="M125" i="24"/>
  <c r="O125" i="24"/>
  <c r="M126" i="24"/>
  <c r="O126" i="24"/>
  <c r="M127" i="24"/>
  <c r="O127" i="24"/>
  <c r="M128" i="24"/>
  <c r="O128" i="24"/>
  <c r="M129" i="24"/>
  <c r="O129" i="24"/>
  <c r="M130" i="24"/>
  <c r="O130" i="24"/>
  <c r="M131" i="24"/>
  <c r="O131" i="24"/>
  <c r="P131" i="24"/>
  <c r="M132" i="24"/>
  <c r="O132" i="24"/>
  <c r="P132" i="24"/>
  <c r="M133" i="24"/>
  <c r="O133" i="24"/>
  <c r="P133" i="24"/>
  <c r="M134" i="24"/>
  <c r="O134" i="24"/>
  <c r="P134" i="24"/>
  <c r="M135" i="24"/>
  <c r="O135" i="24"/>
  <c r="P135" i="24"/>
  <c r="M136" i="24"/>
  <c r="O136" i="24"/>
  <c r="P136" i="24"/>
  <c r="M137" i="24"/>
  <c r="O137" i="24"/>
  <c r="P137" i="24"/>
  <c r="M138" i="24"/>
  <c r="O138" i="24"/>
  <c r="P138" i="24"/>
  <c r="M139" i="24"/>
  <c r="O139" i="24"/>
  <c r="P139" i="24"/>
  <c r="M140" i="24"/>
  <c r="O140" i="24"/>
  <c r="P140" i="24"/>
  <c r="M141" i="24"/>
  <c r="O141" i="24"/>
  <c r="P141" i="24"/>
  <c r="M142" i="24"/>
  <c r="O142" i="24"/>
  <c r="P142" i="24"/>
  <c r="M143" i="24"/>
  <c r="O143" i="24"/>
  <c r="P143" i="24"/>
  <c r="M144" i="24"/>
  <c r="O144" i="24"/>
  <c r="P144" i="24"/>
  <c r="M145" i="24"/>
  <c r="O145" i="24"/>
  <c r="P145" i="24"/>
  <c r="M146" i="24"/>
  <c r="O146" i="24"/>
  <c r="P146" i="24"/>
  <c r="J147" i="24"/>
  <c r="M147" i="24"/>
  <c r="O147" i="24"/>
  <c r="P147" i="24"/>
  <c r="J148" i="24"/>
  <c r="M148" i="24"/>
  <c r="O148" i="24"/>
  <c r="P148" i="24"/>
  <c r="J149" i="24"/>
  <c r="M149" i="24"/>
  <c r="O149" i="24"/>
  <c r="P149" i="24"/>
  <c r="J150" i="24"/>
  <c r="M150" i="24"/>
  <c r="O150" i="24"/>
  <c r="P150" i="24"/>
  <c r="J151" i="24"/>
  <c r="M151" i="24"/>
  <c r="O151" i="24"/>
  <c r="P151" i="24"/>
  <c r="J152" i="24"/>
  <c r="M152" i="24"/>
  <c r="O152" i="24"/>
  <c r="P152" i="24"/>
  <c r="J153" i="24"/>
  <c r="M153" i="24"/>
  <c r="O153" i="24"/>
  <c r="P153" i="24"/>
  <c r="J154" i="24"/>
  <c r="M154" i="24"/>
  <c r="O154" i="24"/>
  <c r="P154" i="24"/>
  <c r="N100" i="3"/>
  <c r="O100" i="3" s="1"/>
  <c r="P100" i="3" s="1"/>
  <c r="L100" i="3"/>
  <c r="M18" i="3"/>
  <c r="N18" i="3" s="1"/>
  <c r="K21" i="10"/>
  <c r="L21" i="10" s="1"/>
  <c r="K18" i="3"/>
  <c r="K18" i="4"/>
  <c r="K18" i="5"/>
  <c r="K19" i="6"/>
  <c r="L19" i="6" s="1"/>
  <c r="K21" i="7"/>
  <c r="K19" i="8"/>
  <c r="L19" i="8" s="1"/>
  <c r="K20" i="9"/>
  <c r="L20" i="9" s="1"/>
  <c r="K20" i="11"/>
  <c r="L20" i="11" s="1"/>
  <c r="K17" i="22"/>
  <c r="L17" i="22" s="1"/>
  <c r="W28" i="17"/>
  <c r="B19" i="23"/>
  <c r="I17" i="23"/>
  <c r="P1" i="23"/>
  <c r="P83" i="23" s="1"/>
  <c r="I11" i="23"/>
  <c r="K11" i="23"/>
  <c r="L17" i="23"/>
  <c r="B18" i="23"/>
  <c r="N26" i="23"/>
  <c r="N27" i="23"/>
  <c r="N28" i="23"/>
  <c r="L30" i="23"/>
  <c r="N30" i="23"/>
  <c r="L31" i="23"/>
  <c r="N31" i="23"/>
  <c r="L32" i="23"/>
  <c r="N32" i="23"/>
  <c r="L33" i="23"/>
  <c r="N33" i="23"/>
  <c r="L34" i="23"/>
  <c r="N34" i="23"/>
  <c r="L35" i="23"/>
  <c r="N35" i="23"/>
  <c r="L36" i="23"/>
  <c r="N36" i="23"/>
  <c r="L37" i="23"/>
  <c r="N37" i="23"/>
  <c r="L38" i="23"/>
  <c r="N38" i="23"/>
  <c r="L39" i="23"/>
  <c r="N39" i="23"/>
  <c r="L40" i="23"/>
  <c r="N40" i="23"/>
  <c r="L41" i="23"/>
  <c r="N41" i="23"/>
  <c r="L42" i="23"/>
  <c r="N42" i="23"/>
  <c r="L43" i="23"/>
  <c r="N43" i="23"/>
  <c r="L44" i="23"/>
  <c r="N44" i="23"/>
  <c r="L45" i="23"/>
  <c r="N45" i="23"/>
  <c r="L46" i="23"/>
  <c r="N46" i="23"/>
  <c r="L47" i="23"/>
  <c r="N47" i="23"/>
  <c r="L48" i="23"/>
  <c r="N48" i="23"/>
  <c r="L49" i="23"/>
  <c r="N49" i="23"/>
  <c r="L50" i="23"/>
  <c r="N50" i="23"/>
  <c r="L51" i="23"/>
  <c r="N51" i="23"/>
  <c r="L52" i="23"/>
  <c r="N52" i="23"/>
  <c r="L53" i="23"/>
  <c r="N53" i="23"/>
  <c r="L54" i="23"/>
  <c r="N54" i="23"/>
  <c r="L55" i="23"/>
  <c r="N55" i="23"/>
  <c r="L56" i="23"/>
  <c r="N56" i="23"/>
  <c r="L57" i="23"/>
  <c r="N57" i="23"/>
  <c r="L58" i="23"/>
  <c r="N58" i="23"/>
  <c r="L59" i="23"/>
  <c r="N59" i="23"/>
  <c r="L60" i="23"/>
  <c r="N60" i="23"/>
  <c r="L61" i="23"/>
  <c r="N61" i="23"/>
  <c r="L62" i="23"/>
  <c r="N62" i="23"/>
  <c r="L63" i="23"/>
  <c r="N63" i="23"/>
  <c r="L64" i="23"/>
  <c r="N64" i="23"/>
  <c r="L65" i="23"/>
  <c r="N65" i="23"/>
  <c r="L66" i="23"/>
  <c r="N66" i="23"/>
  <c r="L67" i="23"/>
  <c r="N67" i="23"/>
  <c r="L68" i="23"/>
  <c r="N68" i="23"/>
  <c r="L69" i="23"/>
  <c r="N69" i="23"/>
  <c r="L70" i="23"/>
  <c r="N70" i="23"/>
  <c r="L71" i="23"/>
  <c r="N71" i="23"/>
  <c r="L72" i="23"/>
  <c r="N72" i="23"/>
  <c r="D89" i="23"/>
  <c r="D91" i="23"/>
  <c r="J93" i="23"/>
  <c r="L93" i="23"/>
  <c r="D96" i="23"/>
  <c r="M99" i="23"/>
  <c r="O107" i="23"/>
  <c r="O108" i="23"/>
  <c r="M110" i="23"/>
  <c r="O110" i="23"/>
  <c r="M111" i="23"/>
  <c r="O111" i="23"/>
  <c r="M112" i="23"/>
  <c r="O112" i="23"/>
  <c r="M113" i="23"/>
  <c r="O113" i="23"/>
  <c r="M114" i="23"/>
  <c r="O114" i="23"/>
  <c r="M115" i="23"/>
  <c r="O115" i="23"/>
  <c r="M116" i="23"/>
  <c r="O116" i="23"/>
  <c r="M117" i="23"/>
  <c r="O117" i="23"/>
  <c r="M118" i="23"/>
  <c r="O118" i="23"/>
  <c r="M119" i="23"/>
  <c r="O119" i="23"/>
  <c r="M120" i="23"/>
  <c r="O120" i="23"/>
  <c r="M121" i="23"/>
  <c r="O121" i="23"/>
  <c r="M122" i="23"/>
  <c r="O122" i="23"/>
  <c r="M123" i="23"/>
  <c r="O123" i="23"/>
  <c r="M124" i="23"/>
  <c r="O124" i="23"/>
  <c r="M125" i="23"/>
  <c r="O125" i="23"/>
  <c r="M126" i="23"/>
  <c r="O126" i="23"/>
  <c r="M127" i="23"/>
  <c r="O127" i="23"/>
  <c r="M128" i="23"/>
  <c r="O128" i="23"/>
  <c r="M129" i="23"/>
  <c r="O129" i="23"/>
  <c r="M130" i="23"/>
  <c r="O130" i="23"/>
  <c r="J131" i="23"/>
  <c r="M131" i="23"/>
  <c r="O131" i="23"/>
  <c r="P131" i="23"/>
  <c r="J132" i="23"/>
  <c r="M132" i="23"/>
  <c r="O132" i="23"/>
  <c r="P132" i="23"/>
  <c r="J133" i="23"/>
  <c r="M133" i="23"/>
  <c r="O133" i="23"/>
  <c r="P133" i="23"/>
  <c r="J134" i="23"/>
  <c r="M134" i="23"/>
  <c r="O134" i="23"/>
  <c r="P134" i="23"/>
  <c r="J135" i="23"/>
  <c r="M135" i="23"/>
  <c r="O135" i="23"/>
  <c r="P135" i="23"/>
  <c r="J136" i="23"/>
  <c r="M136" i="23"/>
  <c r="O136" i="23"/>
  <c r="P136" i="23"/>
  <c r="J137" i="23"/>
  <c r="M137" i="23"/>
  <c r="O137" i="23"/>
  <c r="P137" i="23"/>
  <c r="J138" i="23"/>
  <c r="M138" i="23"/>
  <c r="O138" i="23"/>
  <c r="P138" i="23"/>
  <c r="J139" i="23"/>
  <c r="M139" i="23"/>
  <c r="O139" i="23"/>
  <c r="P139" i="23"/>
  <c r="J140" i="23"/>
  <c r="M140" i="23"/>
  <c r="O140" i="23"/>
  <c r="P140" i="23"/>
  <c r="J141" i="23"/>
  <c r="M141" i="23"/>
  <c r="O141" i="23"/>
  <c r="P141" i="23"/>
  <c r="J142" i="23"/>
  <c r="M142" i="23"/>
  <c r="O142" i="23"/>
  <c r="P142" i="23"/>
  <c r="J143" i="23"/>
  <c r="M143" i="23"/>
  <c r="O143" i="23"/>
  <c r="P143" i="23"/>
  <c r="J144" i="23"/>
  <c r="M144" i="23"/>
  <c r="O144" i="23"/>
  <c r="P144" i="23"/>
  <c r="J145" i="23"/>
  <c r="M145" i="23"/>
  <c r="O145" i="23"/>
  <c r="P145" i="23"/>
  <c r="J146" i="23"/>
  <c r="M146" i="23"/>
  <c r="O146" i="23"/>
  <c r="P146" i="23"/>
  <c r="J147" i="23"/>
  <c r="M147" i="23"/>
  <c r="O147" i="23"/>
  <c r="P147" i="23"/>
  <c r="J148" i="23"/>
  <c r="M148" i="23"/>
  <c r="O148" i="23"/>
  <c r="P148" i="23"/>
  <c r="J149" i="23"/>
  <c r="M149" i="23"/>
  <c r="O149" i="23"/>
  <c r="P149" i="23"/>
  <c r="J150" i="23"/>
  <c r="M150" i="23"/>
  <c r="O150" i="23"/>
  <c r="P150" i="23"/>
  <c r="J151" i="23"/>
  <c r="M151" i="23"/>
  <c r="O151" i="23"/>
  <c r="P151" i="23"/>
  <c r="J152" i="23"/>
  <c r="M152" i="23"/>
  <c r="O152" i="23"/>
  <c r="P152" i="23"/>
  <c r="J153" i="23"/>
  <c r="M153" i="23"/>
  <c r="O153" i="23"/>
  <c r="P153" i="23"/>
  <c r="J154" i="23"/>
  <c r="M154" i="23"/>
  <c r="O154" i="23"/>
  <c r="P154" i="23"/>
  <c r="M17" i="22"/>
  <c r="N17" i="22" s="1"/>
  <c r="N101" i="11"/>
  <c r="O101" i="11" s="1"/>
  <c r="L101" i="11"/>
  <c r="M101" i="11" s="1"/>
  <c r="M20" i="11"/>
  <c r="N20" i="11" s="1"/>
  <c r="M21" i="10"/>
  <c r="N21" i="10"/>
  <c r="N102" i="10"/>
  <c r="O102" i="10" s="1"/>
  <c r="L102" i="10"/>
  <c r="M102" i="10" s="1"/>
  <c r="M20" i="9"/>
  <c r="N20" i="9"/>
  <c r="N101" i="9"/>
  <c r="L101" i="9"/>
  <c r="N100" i="8"/>
  <c r="O100" i="8" s="1"/>
  <c r="L100" i="8"/>
  <c r="M100" i="8" s="1"/>
  <c r="M19" i="8"/>
  <c r="N19" i="8" s="1"/>
  <c r="N102" i="7"/>
  <c r="L102" i="7"/>
  <c r="M102" i="7" s="1"/>
  <c r="M21" i="7"/>
  <c r="N21" i="7" s="1"/>
  <c r="O21" i="7" s="1"/>
  <c r="N100" i="6"/>
  <c r="O100" i="6" s="1"/>
  <c r="L100" i="6"/>
  <c r="M19" i="6"/>
  <c r="N99" i="5"/>
  <c r="L99" i="5"/>
  <c r="M99" i="5" s="1"/>
  <c r="M18" i="5"/>
  <c r="N99" i="4"/>
  <c r="L99" i="4"/>
  <c r="M18" i="4"/>
  <c r="N18" i="4" s="1"/>
  <c r="N99" i="3"/>
  <c r="L99" i="3"/>
  <c r="L18" i="7"/>
  <c r="B100" i="7"/>
  <c r="B102" i="8"/>
  <c r="B101" i="8"/>
  <c r="B100" i="8"/>
  <c r="B103" i="9"/>
  <c r="B102" i="9"/>
  <c r="B101" i="9"/>
  <c r="B100" i="9"/>
  <c r="B104" i="10"/>
  <c r="B103" i="10"/>
  <c r="B102" i="10"/>
  <c r="B101" i="10"/>
  <c r="B100" i="10"/>
  <c r="B103" i="11"/>
  <c r="B102" i="11"/>
  <c r="B101" i="11"/>
  <c r="B100" i="11"/>
  <c r="B100" i="22"/>
  <c r="B104" i="7"/>
  <c r="B103" i="7"/>
  <c r="B20" i="8"/>
  <c r="B19" i="8"/>
  <c r="B18" i="8"/>
  <c r="B22" i="9"/>
  <c r="B21" i="9"/>
  <c r="B20" i="9"/>
  <c r="B19" i="9"/>
  <c r="B18" i="9"/>
  <c r="B23" i="10"/>
  <c r="B22" i="10"/>
  <c r="B21" i="10"/>
  <c r="B20" i="10"/>
  <c r="B19" i="10"/>
  <c r="B18" i="10"/>
  <c r="B22" i="11"/>
  <c r="B21" i="11"/>
  <c r="B20" i="11"/>
  <c r="B19" i="11"/>
  <c r="B18" i="11"/>
  <c r="B18" i="22"/>
  <c r="I14" i="13"/>
  <c r="B22" i="7"/>
  <c r="B101" i="4"/>
  <c r="B100" i="4"/>
  <c r="B101" i="5"/>
  <c r="B100" i="5"/>
  <c r="B101" i="3"/>
  <c r="B100" i="3"/>
  <c r="B20" i="4"/>
  <c r="B19" i="4"/>
  <c r="B18" i="4"/>
  <c r="B20" i="5"/>
  <c r="B19" i="5"/>
  <c r="B18" i="5"/>
  <c r="B19" i="3"/>
  <c r="B18" i="3"/>
  <c r="B18" i="6"/>
  <c r="B20" i="6"/>
  <c r="B19" i="6"/>
  <c r="B102" i="6"/>
  <c r="B101" i="6"/>
  <c r="B100" i="6"/>
  <c r="I18" i="3"/>
  <c r="I19" i="3"/>
  <c r="D90" i="4"/>
  <c r="D90" i="5"/>
  <c r="D90" i="6"/>
  <c r="D90" i="7"/>
  <c r="D90" i="8"/>
  <c r="D8" i="9"/>
  <c r="D90" i="9" s="1"/>
  <c r="D90" i="13"/>
  <c r="W27" i="17"/>
  <c r="N99" i="6"/>
  <c r="O99" i="6" s="1"/>
  <c r="P1" i="22"/>
  <c r="P83" i="22" s="1"/>
  <c r="I11" i="22"/>
  <c r="K11" i="22"/>
  <c r="I17" i="22"/>
  <c r="I18" i="22"/>
  <c r="N27" i="22"/>
  <c r="N28" i="22"/>
  <c r="N29" i="22"/>
  <c r="L31" i="22"/>
  <c r="N31" i="22"/>
  <c r="L32" i="22"/>
  <c r="N32" i="22"/>
  <c r="L33" i="22"/>
  <c r="N33" i="22"/>
  <c r="L34" i="22"/>
  <c r="N34" i="22"/>
  <c r="L35" i="22"/>
  <c r="N35" i="22"/>
  <c r="L36" i="22"/>
  <c r="N36" i="22"/>
  <c r="L37" i="22"/>
  <c r="N37" i="22"/>
  <c r="L38" i="22"/>
  <c r="N38" i="22"/>
  <c r="L39" i="22"/>
  <c r="N39" i="22"/>
  <c r="L40" i="22"/>
  <c r="N40" i="22"/>
  <c r="L41" i="22"/>
  <c r="N41" i="22"/>
  <c r="L42" i="22"/>
  <c r="N42" i="22"/>
  <c r="L43" i="22"/>
  <c r="N43" i="22"/>
  <c r="L44" i="22"/>
  <c r="N44" i="22"/>
  <c r="L45" i="22"/>
  <c r="N45" i="22"/>
  <c r="L46" i="22"/>
  <c r="N46" i="22"/>
  <c r="L47" i="22"/>
  <c r="N47" i="22"/>
  <c r="L48" i="22"/>
  <c r="N48" i="22"/>
  <c r="L49" i="22"/>
  <c r="N49" i="22"/>
  <c r="L50" i="22"/>
  <c r="N50" i="22"/>
  <c r="L51" i="22"/>
  <c r="N51" i="22"/>
  <c r="L52" i="22"/>
  <c r="N52" i="22"/>
  <c r="L53" i="22"/>
  <c r="N53" i="22"/>
  <c r="L54" i="22"/>
  <c r="N54" i="22"/>
  <c r="L55" i="22"/>
  <c r="N55" i="22"/>
  <c r="L56" i="22"/>
  <c r="N56" i="22"/>
  <c r="L57" i="22"/>
  <c r="N57" i="22"/>
  <c r="L58" i="22"/>
  <c r="N58" i="22"/>
  <c r="L59" i="22"/>
  <c r="N59" i="22"/>
  <c r="L60" i="22"/>
  <c r="N60" i="22"/>
  <c r="L61" i="22"/>
  <c r="N61" i="22"/>
  <c r="L62" i="22"/>
  <c r="N62" i="22"/>
  <c r="L63" i="22"/>
  <c r="N63" i="22"/>
  <c r="L64" i="22"/>
  <c r="N64" i="22"/>
  <c r="L65" i="22"/>
  <c r="N65" i="22"/>
  <c r="L66" i="22"/>
  <c r="N66" i="22"/>
  <c r="L67" i="22"/>
  <c r="N67" i="22"/>
  <c r="L68" i="22"/>
  <c r="N68" i="22"/>
  <c r="L69" i="22"/>
  <c r="N69" i="22"/>
  <c r="L70" i="22"/>
  <c r="N70" i="22"/>
  <c r="L71" i="22"/>
  <c r="N71" i="22"/>
  <c r="L72" i="22"/>
  <c r="N72" i="22"/>
  <c r="D89" i="22"/>
  <c r="D91" i="22"/>
  <c r="J93" i="22"/>
  <c r="L93" i="22"/>
  <c r="D96" i="22"/>
  <c r="J99" i="22"/>
  <c r="O99" i="22"/>
  <c r="M100" i="22"/>
  <c r="O108" i="22"/>
  <c r="O109" i="22"/>
  <c r="M111" i="22"/>
  <c r="O111" i="22"/>
  <c r="M112" i="22"/>
  <c r="O112" i="22"/>
  <c r="M113" i="22"/>
  <c r="O113" i="22"/>
  <c r="M114" i="22"/>
  <c r="O114" i="22"/>
  <c r="M115" i="22"/>
  <c r="O115" i="22"/>
  <c r="M116" i="22"/>
  <c r="O116" i="22"/>
  <c r="M117" i="22"/>
  <c r="O117" i="22"/>
  <c r="M118" i="22"/>
  <c r="O118" i="22"/>
  <c r="M119" i="22"/>
  <c r="O119" i="22"/>
  <c r="M120" i="22"/>
  <c r="O120" i="22"/>
  <c r="M121" i="22"/>
  <c r="O121" i="22"/>
  <c r="M122" i="22"/>
  <c r="O122" i="22"/>
  <c r="M123" i="22"/>
  <c r="O123" i="22"/>
  <c r="M124" i="22"/>
  <c r="O124" i="22"/>
  <c r="M125" i="22"/>
  <c r="O125" i="22"/>
  <c r="M126" i="22"/>
  <c r="O126" i="22"/>
  <c r="M127" i="22"/>
  <c r="O127" i="22"/>
  <c r="M128" i="22"/>
  <c r="O128" i="22"/>
  <c r="M129" i="22"/>
  <c r="O129" i="22"/>
  <c r="M130" i="22"/>
  <c r="O130" i="22"/>
  <c r="J131" i="22"/>
  <c r="M131" i="22"/>
  <c r="O131" i="22"/>
  <c r="P131" i="22"/>
  <c r="J132" i="22"/>
  <c r="M132" i="22"/>
  <c r="O132" i="22"/>
  <c r="P132" i="22"/>
  <c r="J133" i="22"/>
  <c r="M133" i="22"/>
  <c r="O133" i="22"/>
  <c r="P133" i="22"/>
  <c r="J134" i="22"/>
  <c r="M134" i="22"/>
  <c r="O134" i="22"/>
  <c r="P134" i="22"/>
  <c r="J135" i="22"/>
  <c r="M135" i="22"/>
  <c r="O135" i="22"/>
  <c r="P135" i="22"/>
  <c r="J136" i="22"/>
  <c r="M136" i="22"/>
  <c r="O136" i="22"/>
  <c r="P136" i="22"/>
  <c r="J137" i="22"/>
  <c r="M137" i="22"/>
  <c r="O137" i="22"/>
  <c r="P137" i="22"/>
  <c r="J138" i="22"/>
  <c r="M138" i="22"/>
  <c r="O138" i="22"/>
  <c r="P138" i="22"/>
  <c r="J139" i="22"/>
  <c r="M139" i="22"/>
  <c r="O139" i="22"/>
  <c r="P139" i="22"/>
  <c r="J140" i="22"/>
  <c r="M140" i="22"/>
  <c r="O140" i="22"/>
  <c r="P140" i="22"/>
  <c r="J141" i="22"/>
  <c r="M141" i="22"/>
  <c r="O141" i="22"/>
  <c r="P141" i="22"/>
  <c r="J142" i="22"/>
  <c r="M142" i="22"/>
  <c r="O142" i="22"/>
  <c r="P142" i="22"/>
  <c r="J143" i="22"/>
  <c r="M143" i="22"/>
  <c r="O143" i="22"/>
  <c r="P143" i="22"/>
  <c r="J144" i="22"/>
  <c r="M144" i="22"/>
  <c r="O144" i="22"/>
  <c r="P144" i="22"/>
  <c r="J145" i="22"/>
  <c r="M145" i="22"/>
  <c r="O145" i="22"/>
  <c r="P145" i="22"/>
  <c r="J146" i="22"/>
  <c r="M146" i="22"/>
  <c r="O146" i="22"/>
  <c r="P146" i="22"/>
  <c r="J147" i="22"/>
  <c r="M147" i="22"/>
  <c r="O147" i="22"/>
  <c r="P147" i="22"/>
  <c r="J148" i="22"/>
  <c r="M148" i="22"/>
  <c r="O148" i="22"/>
  <c r="P148" i="22"/>
  <c r="J149" i="22"/>
  <c r="M149" i="22"/>
  <c r="O149" i="22"/>
  <c r="P149" i="22"/>
  <c r="J150" i="22"/>
  <c r="M150" i="22"/>
  <c r="O150" i="22"/>
  <c r="P150" i="22"/>
  <c r="J151" i="22"/>
  <c r="M151" i="22"/>
  <c r="O151" i="22"/>
  <c r="P151" i="22"/>
  <c r="J152" i="22"/>
  <c r="M152" i="22"/>
  <c r="O152" i="22"/>
  <c r="P152" i="22"/>
  <c r="J153" i="22"/>
  <c r="M153" i="22"/>
  <c r="O153" i="22"/>
  <c r="P153" i="22"/>
  <c r="J154" i="22"/>
  <c r="M154" i="22"/>
  <c r="O154" i="22"/>
  <c r="P154" i="22"/>
  <c r="P1" i="8"/>
  <c r="P83" i="8" s="1"/>
  <c r="P1" i="11"/>
  <c r="P83" i="11" s="1"/>
  <c r="P12" i="17"/>
  <c r="L12" i="17"/>
  <c r="W26" i="17"/>
  <c r="W25" i="17"/>
  <c r="W24" i="17"/>
  <c r="W23" i="17"/>
  <c r="W22" i="17"/>
  <c r="W21" i="17"/>
  <c r="W20" i="17"/>
  <c r="W19" i="17"/>
  <c r="W18" i="17"/>
  <c r="G12" i="17"/>
  <c r="H3" i="3"/>
  <c r="H3" i="4"/>
  <c r="H3" i="5"/>
  <c r="H3" i="6"/>
  <c r="M101" i="7"/>
  <c r="C12" i="2"/>
  <c r="P1" i="13"/>
  <c r="P83" i="13" s="1"/>
  <c r="P1" i="4"/>
  <c r="P83" i="4" s="1"/>
  <c r="P1" i="5"/>
  <c r="P83" i="5" s="1"/>
  <c r="P1" i="6"/>
  <c r="P83" i="6" s="1"/>
  <c r="P1" i="7"/>
  <c r="P83" i="7" s="1"/>
  <c r="P1" i="9"/>
  <c r="P83" i="9" s="1"/>
  <c r="P1" i="10"/>
  <c r="P83" i="10" s="1"/>
  <c r="P1" i="3"/>
  <c r="P83" i="3" s="1"/>
  <c r="O3" i="3"/>
  <c r="A5" i="2"/>
  <c r="A1" i="2"/>
  <c r="F13" i="2"/>
  <c r="C79" i="2" s="1"/>
  <c r="C89" i="2"/>
  <c r="I11" i="13"/>
  <c r="K11" i="13"/>
  <c r="L17" i="13"/>
  <c r="N17" i="13"/>
  <c r="L18" i="13"/>
  <c r="N18" i="13"/>
  <c r="L19" i="13"/>
  <c r="N19" i="13"/>
  <c r="L20" i="13"/>
  <c r="N20" i="13"/>
  <c r="L21" i="13"/>
  <c r="N21" i="13"/>
  <c r="L22" i="13"/>
  <c r="N22" i="13"/>
  <c r="L23" i="13"/>
  <c r="N23" i="13"/>
  <c r="L24" i="13"/>
  <c r="N24" i="13"/>
  <c r="L25" i="13"/>
  <c r="N25" i="13"/>
  <c r="L26" i="13"/>
  <c r="N26" i="13"/>
  <c r="L27" i="13"/>
  <c r="N27" i="13"/>
  <c r="L28" i="13"/>
  <c r="N28" i="13"/>
  <c r="L29" i="13"/>
  <c r="N29" i="13"/>
  <c r="L30" i="13"/>
  <c r="N30" i="13"/>
  <c r="L31" i="13"/>
  <c r="N31" i="13"/>
  <c r="L32" i="13"/>
  <c r="N32" i="13"/>
  <c r="L33" i="13"/>
  <c r="N33" i="13"/>
  <c r="L34" i="13"/>
  <c r="N34" i="13"/>
  <c r="L35" i="13"/>
  <c r="N35" i="13"/>
  <c r="L36" i="13"/>
  <c r="N36" i="13"/>
  <c r="L37" i="13"/>
  <c r="N37" i="13"/>
  <c r="L38" i="13"/>
  <c r="N38" i="13"/>
  <c r="L39" i="13"/>
  <c r="N39" i="13"/>
  <c r="L40" i="13"/>
  <c r="N40" i="13"/>
  <c r="L41" i="13"/>
  <c r="N41" i="13"/>
  <c r="L42" i="13"/>
  <c r="N42" i="13"/>
  <c r="L43" i="13"/>
  <c r="N43" i="13"/>
  <c r="L44" i="13"/>
  <c r="N44" i="13"/>
  <c r="L45" i="13"/>
  <c r="N45" i="13"/>
  <c r="L46" i="13"/>
  <c r="N46" i="13"/>
  <c r="L47" i="13"/>
  <c r="N47" i="13"/>
  <c r="L48" i="13"/>
  <c r="N48" i="13"/>
  <c r="L49" i="13"/>
  <c r="N49" i="13"/>
  <c r="L50" i="13"/>
  <c r="N50" i="13"/>
  <c r="L51" i="13"/>
  <c r="N51" i="13"/>
  <c r="L52" i="13"/>
  <c r="N52" i="13"/>
  <c r="L53" i="13"/>
  <c r="N53" i="13"/>
  <c r="L54" i="13"/>
  <c r="N54" i="13"/>
  <c r="L55" i="13"/>
  <c r="N55" i="13"/>
  <c r="L56" i="13"/>
  <c r="N56" i="13"/>
  <c r="L57" i="13"/>
  <c r="N57" i="13"/>
  <c r="L58" i="13"/>
  <c r="N58" i="13"/>
  <c r="L59" i="13"/>
  <c r="N59" i="13"/>
  <c r="L60" i="13"/>
  <c r="N60" i="13"/>
  <c r="L61" i="13"/>
  <c r="N61" i="13"/>
  <c r="L62" i="13"/>
  <c r="N62" i="13"/>
  <c r="L63" i="13"/>
  <c r="N63" i="13"/>
  <c r="L64" i="13"/>
  <c r="N64" i="13"/>
  <c r="L65" i="13"/>
  <c r="N65" i="13"/>
  <c r="L66" i="13"/>
  <c r="N66" i="13"/>
  <c r="L67" i="13"/>
  <c r="N67" i="13"/>
  <c r="L68" i="13"/>
  <c r="N68" i="13"/>
  <c r="L69" i="13"/>
  <c r="N69" i="13"/>
  <c r="L70" i="13"/>
  <c r="N70" i="13"/>
  <c r="L71" i="13"/>
  <c r="N71" i="13"/>
  <c r="L72" i="13"/>
  <c r="N72" i="13"/>
  <c r="D89" i="13"/>
  <c r="D91" i="13"/>
  <c r="J93" i="13"/>
  <c r="L93" i="13"/>
  <c r="D96" i="13"/>
  <c r="M99" i="13"/>
  <c r="O99" i="13"/>
  <c r="M100" i="13"/>
  <c r="O100" i="13"/>
  <c r="M101" i="13"/>
  <c r="O101" i="13"/>
  <c r="M102" i="13"/>
  <c r="O102" i="13"/>
  <c r="M103" i="13"/>
  <c r="O103" i="13"/>
  <c r="M104" i="13"/>
  <c r="O104" i="13"/>
  <c r="M105" i="13"/>
  <c r="O105" i="13"/>
  <c r="M106" i="13"/>
  <c r="O106" i="13"/>
  <c r="M107" i="13"/>
  <c r="O107" i="13"/>
  <c r="M108" i="13"/>
  <c r="O108" i="13"/>
  <c r="M109" i="13"/>
  <c r="O109" i="13"/>
  <c r="M110" i="13"/>
  <c r="O110" i="13"/>
  <c r="M111" i="13"/>
  <c r="O111" i="13"/>
  <c r="M112" i="13"/>
  <c r="O112" i="13"/>
  <c r="M113" i="13"/>
  <c r="O113" i="13"/>
  <c r="M114" i="13"/>
  <c r="O114" i="13"/>
  <c r="M115" i="13"/>
  <c r="O115" i="13"/>
  <c r="M116" i="13"/>
  <c r="O116" i="13"/>
  <c r="M117" i="13"/>
  <c r="O117" i="13"/>
  <c r="M118" i="13"/>
  <c r="O118" i="13"/>
  <c r="M119" i="13"/>
  <c r="O119" i="13"/>
  <c r="M120" i="13"/>
  <c r="O120" i="13"/>
  <c r="M121" i="13"/>
  <c r="O121" i="13"/>
  <c r="M122" i="13"/>
  <c r="O122" i="13"/>
  <c r="M123" i="13"/>
  <c r="O123" i="13"/>
  <c r="M124" i="13"/>
  <c r="O124" i="13"/>
  <c r="M125" i="13"/>
  <c r="O125" i="13"/>
  <c r="M126" i="13"/>
  <c r="O126" i="13"/>
  <c r="M127" i="13"/>
  <c r="O127" i="13"/>
  <c r="M128" i="13"/>
  <c r="O128" i="13"/>
  <c r="M129" i="13"/>
  <c r="O129" i="13"/>
  <c r="M130" i="13"/>
  <c r="O130" i="13"/>
  <c r="J131" i="13"/>
  <c r="M131" i="13"/>
  <c r="O131" i="13"/>
  <c r="P131" i="13"/>
  <c r="J132" i="13"/>
  <c r="M132" i="13"/>
  <c r="O132" i="13"/>
  <c r="P132" i="13"/>
  <c r="J133" i="13"/>
  <c r="M133" i="13"/>
  <c r="O133" i="13"/>
  <c r="P133" i="13"/>
  <c r="J134" i="13"/>
  <c r="M134" i="13"/>
  <c r="O134" i="13"/>
  <c r="P134" i="13"/>
  <c r="J135" i="13"/>
  <c r="M135" i="13"/>
  <c r="O135" i="13"/>
  <c r="P135" i="13"/>
  <c r="J136" i="13"/>
  <c r="M136" i="13"/>
  <c r="O136" i="13"/>
  <c r="P136" i="13"/>
  <c r="J137" i="13"/>
  <c r="M137" i="13"/>
  <c r="O137" i="13"/>
  <c r="P137" i="13"/>
  <c r="J138" i="13"/>
  <c r="M138" i="13"/>
  <c r="O138" i="13"/>
  <c r="P138" i="13"/>
  <c r="J139" i="13"/>
  <c r="M139" i="13"/>
  <c r="O139" i="13"/>
  <c r="P139" i="13"/>
  <c r="J140" i="13"/>
  <c r="M140" i="13"/>
  <c r="O140" i="13"/>
  <c r="P140" i="13"/>
  <c r="J141" i="13"/>
  <c r="M141" i="13"/>
  <c r="O141" i="13"/>
  <c r="P141" i="13"/>
  <c r="J142" i="13"/>
  <c r="M142" i="13"/>
  <c r="O142" i="13"/>
  <c r="P142" i="13"/>
  <c r="J143" i="13"/>
  <c r="M143" i="13"/>
  <c r="O143" i="13"/>
  <c r="P143" i="13"/>
  <c r="J144" i="13"/>
  <c r="M144" i="13"/>
  <c r="O144" i="13"/>
  <c r="P144" i="13"/>
  <c r="J145" i="13"/>
  <c r="M145" i="13"/>
  <c r="O145" i="13"/>
  <c r="P145" i="13"/>
  <c r="J146" i="13"/>
  <c r="M146" i="13"/>
  <c r="O146" i="13"/>
  <c r="P146" i="13"/>
  <c r="J147" i="13"/>
  <c r="M147" i="13"/>
  <c r="O147" i="13"/>
  <c r="P147" i="13"/>
  <c r="J148" i="13"/>
  <c r="M148" i="13"/>
  <c r="O148" i="13"/>
  <c r="P148" i="13"/>
  <c r="J149" i="13"/>
  <c r="M149" i="13"/>
  <c r="O149" i="13"/>
  <c r="P149" i="13"/>
  <c r="J150" i="13"/>
  <c r="M150" i="13"/>
  <c r="O150" i="13"/>
  <c r="P150" i="13"/>
  <c r="J151" i="13"/>
  <c r="M151" i="13"/>
  <c r="O151" i="13"/>
  <c r="P151" i="13"/>
  <c r="J152" i="13"/>
  <c r="M152" i="13"/>
  <c r="O152" i="13"/>
  <c r="P152" i="13"/>
  <c r="J153" i="13"/>
  <c r="M153" i="13"/>
  <c r="O153" i="13"/>
  <c r="P153" i="13"/>
  <c r="J154" i="13"/>
  <c r="M154" i="13"/>
  <c r="O154" i="13"/>
  <c r="P154" i="13"/>
  <c r="I11" i="11"/>
  <c r="K11" i="11"/>
  <c r="I17" i="11"/>
  <c r="L17" i="11"/>
  <c r="N17" i="11"/>
  <c r="I18" i="11"/>
  <c r="L18" i="11"/>
  <c r="N18" i="11"/>
  <c r="I19" i="11"/>
  <c r="L19" i="11"/>
  <c r="N19" i="11"/>
  <c r="I20" i="11"/>
  <c r="I21" i="11"/>
  <c r="L22" i="11"/>
  <c r="N30" i="11"/>
  <c r="N31" i="11"/>
  <c r="N32" i="11"/>
  <c r="L34" i="11"/>
  <c r="N34" i="11"/>
  <c r="L35" i="11"/>
  <c r="N35" i="11"/>
  <c r="L36" i="11"/>
  <c r="N36" i="11"/>
  <c r="L37" i="11"/>
  <c r="N37" i="11"/>
  <c r="L38" i="11"/>
  <c r="N38" i="11"/>
  <c r="L39" i="11"/>
  <c r="N39" i="11"/>
  <c r="L40" i="11"/>
  <c r="N40" i="11"/>
  <c r="L41" i="11"/>
  <c r="N41" i="11"/>
  <c r="L42" i="11"/>
  <c r="N42" i="11"/>
  <c r="L43" i="11"/>
  <c r="N43" i="11"/>
  <c r="L44" i="11"/>
  <c r="N44" i="11"/>
  <c r="L45" i="11"/>
  <c r="N45" i="11"/>
  <c r="L46" i="11"/>
  <c r="N46" i="11"/>
  <c r="L47" i="11"/>
  <c r="N47" i="11"/>
  <c r="L48" i="11"/>
  <c r="N48" i="11"/>
  <c r="L49" i="11"/>
  <c r="N49" i="11"/>
  <c r="L50" i="11"/>
  <c r="N50" i="11"/>
  <c r="L51" i="11"/>
  <c r="N51" i="11"/>
  <c r="L52" i="11"/>
  <c r="N52" i="11"/>
  <c r="L53" i="11"/>
  <c r="N53" i="11"/>
  <c r="L54" i="11"/>
  <c r="N54" i="11"/>
  <c r="L55" i="11"/>
  <c r="N55" i="11"/>
  <c r="L56" i="11"/>
  <c r="N56" i="11"/>
  <c r="L57" i="11"/>
  <c r="N57" i="11"/>
  <c r="L58" i="11"/>
  <c r="N58" i="11"/>
  <c r="L59" i="11"/>
  <c r="N59" i="11"/>
  <c r="L60" i="11"/>
  <c r="N60" i="11"/>
  <c r="L61" i="11"/>
  <c r="N61" i="11"/>
  <c r="L62" i="11"/>
  <c r="N62" i="11"/>
  <c r="L63" i="11"/>
  <c r="N63" i="11"/>
  <c r="L64" i="11"/>
  <c r="N64" i="11"/>
  <c r="L65" i="11"/>
  <c r="N65" i="11"/>
  <c r="L66" i="11"/>
  <c r="N66" i="11"/>
  <c r="L67" i="11"/>
  <c r="N67" i="11"/>
  <c r="L68" i="11"/>
  <c r="N68" i="11"/>
  <c r="L69" i="11"/>
  <c r="N69" i="11"/>
  <c r="L70" i="11"/>
  <c r="N70" i="11"/>
  <c r="L71" i="11"/>
  <c r="N71" i="11"/>
  <c r="L72" i="11"/>
  <c r="N72" i="11"/>
  <c r="D89" i="11"/>
  <c r="D91" i="11"/>
  <c r="J93" i="11"/>
  <c r="L93" i="11"/>
  <c r="D96" i="11"/>
  <c r="J99" i="11"/>
  <c r="M99" i="11"/>
  <c r="O99" i="11"/>
  <c r="P99" i="11" s="1"/>
  <c r="J100" i="11"/>
  <c r="M100" i="11"/>
  <c r="O100" i="11"/>
  <c r="J101" i="11"/>
  <c r="J102" i="11"/>
  <c r="O103" i="11"/>
  <c r="O111" i="11"/>
  <c r="O112" i="11"/>
  <c r="M114" i="11"/>
  <c r="O114" i="11"/>
  <c r="M115" i="11"/>
  <c r="O115" i="11"/>
  <c r="M116" i="11"/>
  <c r="O116" i="11"/>
  <c r="M117" i="11"/>
  <c r="O117" i="11"/>
  <c r="M118" i="11"/>
  <c r="O118" i="11"/>
  <c r="M119" i="11"/>
  <c r="O119" i="11"/>
  <c r="M120" i="11"/>
  <c r="O120" i="11"/>
  <c r="M121" i="11"/>
  <c r="O121" i="11"/>
  <c r="M122" i="11"/>
  <c r="O122" i="11"/>
  <c r="M123" i="11"/>
  <c r="O123" i="11"/>
  <c r="M124" i="11"/>
  <c r="O124" i="11"/>
  <c r="M125" i="11"/>
  <c r="O125" i="11"/>
  <c r="M126" i="11"/>
  <c r="O126" i="11"/>
  <c r="M127" i="11"/>
  <c r="O127" i="11"/>
  <c r="M128" i="11"/>
  <c r="O128" i="11"/>
  <c r="M129" i="11"/>
  <c r="O129" i="11"/>
  <c r="M130" i="11"/>
  <c r="O130" i="11"/>
  <c r="J131" i="11"/>
  <c r="M131" i="11"/>
  <c r="O131" i="11"/>
  <c r="P131" i="11"/>
  <c r="J132" i="11"/>
  <c r="M132" i="11"/>
  <c r="O132" i="11"/>
  <c r="P132" i="11"/>
  <c r="J133" i="11"/>
  <c r="M133" i="11"/>
  <c r="O133" i="11"/>
  <c r="P133" i="11"/>
  <c r="J134" i="11"/>
  <c r="M134" i="11"/>
  <c r="O134" i="11"/>
  <c r="P134" i="11"/>
  <c r="J135" i="11"/>
  <c r="M135" i="11"/>
  <c r="O135" i="11"/>
  <c r="P135" i="11"/>
  <c r="J136" i="11"/>
  <c r="M136" i="11"/>
  <c r="O136" i="11"/>
  <c r="P136" i="11"/>
  <c r="J137" i="11"/>
  <c r="M137" i="11"/>
  <c r="O137" i="11"/>
  <c r="P137" i="11"/>
  <c r="J138" i="11"/>
  <c r="M138" i="11"/>
  <c r="O138" i="11"/>
  <c r="P138" i="11"/>
  <c r="J139" i="11"/>
  <c r="M139" i="11"/>
  <c r="O139" i="11"/>
  <c r="P139" i="11"/>
  <c r="J140" i="11"/>
  <c r="M140" i="11"/>
  <c r="O140" i="11"/>
  <c r="P140" i="11"/>
  <c r="J141" i="11"/>
  <c r="M141" i="11"/>
  <c r="O141" i="11"/>
  <c r="P141" i="11"/>
  <c r="J142" i="11"/>
  <c r="M142" i="11"/>
  <c r="O142" i="11"/>
  <c r="P142" i="11"/>
  <c r="J143" i="11"/>
  <c r="M143" i="11"/>
  <c r="O143" i="11"/>
  <c r="P143" i="11"/>
  <c r="J144" i="11"/>
  <c r="M144" i="11"/>
  <c r="O144" i="11"/>
  <c r="P144" i="11"/>
  <c r="J145" i="11"/>
  <c r="M145" i="11"/>
  <c r="O145" i="11"/>
  <c r="P145" i="11"/>
  <c r="J146" i="11"/>
  <c r="M146" i="11"/>
  <c r="O146" i="11"/>
  <c r="P146" i="11"/>
  <c r="J147" i="11"/>
  <c r="M147" i="11"/>
  <c r="O147" i="11"/>
  <c r="P147" i="11"/>
  <c r="J148" i="11"/>
  <c r="M148" i="11"/>
  <c r="O148" i="11"/>
  <c r="P148" i="11"/>
  <c r="J149" i="11"/>
  <c r="M149" i="11"/>
  <c r="O149" i="11"/>
  <c r="P149" i="11"/>
  <c r="J150" i="11"/>
  <c r="M150" i="11"/>
  <c r="O150" i="11"/>
  <c r="P150" i="11"/>
  <c r="J151" i="11"/>
  <c r="M151" i="11"/>
  <c r="O151" i="11"/>
  <c r="P151" i="11"/>
  <c r="J152" i="11"/>
  <c r="M152" i="11"/>
  <c r="O152" i="11"/>
  <c r="P152" i="11"/>
  <c r="J153" i="11"/>
  <c r="M153" i="11"/>
  <c r="O153" i="11"/>
  <c r="P153" i="11"/>
  <c r="J154" i="11"/>
  <c r="M154" i="11"/>
  <c r="O154" i="11"/>
  <c r="P154" i="11"/>
  <c r="I11" i="10"/>
  <c r="K11" i="10"/>
  <c r="I17" i="10"/>
  <c r="L17" i="10"/>
  <c r="N17" i="10"/>
  <c r="I18" i="10"/>
  <c r="L18" i="10"/>
  <c r="N18" i="10"/>
  <c r="I19" i="10"/>
  <c r="L19" i="10"/>
  <c r="O19" i="10" s="1"/>
  <c r="N19" i="10"/>
  <c r="I20" i="10"/>
  <c r="L20" i="10"/>
  <c r="N20" i="10"/>
  <c r="I21" i="10"/>
  <c r="I22" i="10"/>
  <c r="L23" i="10"/>
  <c r="N31" i="10"/>
  <c r="N32" i="10"/>
  <c r="N33" i="10"/>
  <c r="L35" i="10"/>
  <c r="N35" i="10"/>
  <c r="L36" i="10"/>
  <c r="N36" i="10"/>
  <c r="L37" i="10"/>
  <c r="N37" i="10"/>
  <c r="L38" i="10"/>
  <c r="N38" i="10"/>
  <c r="L39" i="10"/>
  <c r="N39" i="10"/>
  <c r="L40" i="10"/>
  <c r="N40" i="10"/>
  <c r="L41" i="10"/>
  <c r="N41" i="10"/>
  <c r="L42" i="10"/>
  <c r="N42" i="10"/>
  <c r="L43" i="10"/>
  <c r="N43" i="10"/>
  <c r="L44" i="10"/>
  <c r="N44" i="10"/>
  <c r="L45" i="10"/>
  <c r="N45" i="10"/>
  <c r="L46" i="10"/>
  <c r="N46" i="10"/>
  <c r="L47" i="10"/>
  <c r="N47" i="10"/>
  <c r="L48" i="10"/>
  <c r="N48" i="10"/>
  <c r="L49" i="10"/>
  <c r="N49" i="10"/>
  <c r="L50" i="10"/>
  <c r="N50" i="10"/>
  <c r="L51" i="10"/>
  <c r="N51" i="10"/>
  <c r="L52" i="10"/>
  <c r="N52" i="10"/>
  <c r="L53" i="10"/>
  <c r="N53" i="10"/>
  <c r="L54" i="10"/>
  <c r="N54" i="10"/>
  <c r="L55" i="10"/>
  <c r="N55" i="10"/>
  <c r="L56" i="10"/>
  <c r="N56" i="10"/>
  <c r="L57" i="10"/>
  <c r="N57" i="10"/>
  <c r="L58" i="10"/>
  <c r="N58" i="10"/>
  <c r="L59" i="10"/>
  <c r="N59" i="10"/>
  <c r="L60" i="10"/>
  <c r="N60" i="10"/>
  <c r="L61" i="10"/>
  <c r="N61" i="10"/>
  <c r="L62" i="10"/>
  <c r="N62" i="10"/>
  <c r="L63" i="10"/>
  <c r="N63" i="10"/>
  <c r="L64" i="10"/>
  <c r="N64" i="10"/>
  <c r="L65" i="10"/>
  <c r="N65" i="10"/>
  <c r="L66" i="10"/>
  <c r="N66" i="10"/>
  <c r="L67" i="10"/>
  <c r="N67" i="10"/>
  <c r="L68" i="10"/>
  <c r="N68" i="10"/>
  <c r="L69" i="10"/>
  <c r="N69" i="10"/>
  <c r="L70" i="10"/>
  <c r="N70" i="10"/>
  <c r="L71" i="10"/>
  <c r="N71" i="10"/>
  <c r="L72" i="10"/>
  <c r="N72" i="10"/>
  <c r="D89" i="10"/>
  <c r="D91" i="10"/>
  <c r="J93" i="10"/>
  <c r="L93" i="10"/>
  <c r="D96" i="10"/>
  <c r="J99" i="10"/>
  <c r="M99" i="10"/>
  <c r="O99" i="10"/>
  <c r="J100" i="10"/>
  <c r="M100" i="10"/>
  <c r="O100" i="10"/>
  <c r="J101" i="10"/>
  <c r="M101" i="10"/>
  <c r="O101" i="10"/>
  <c r="J102" i="10"/>
  <c r="J103" i="10"/>
  <c r="O103" i="10"/>
  <c r="O104" i="10"/>
  <c r="O112" i="10"/>
  <c r="O113" i="10"/>
  <c r="M115" i="10"/>
  <c r="O115" i="10"/>
  <c r="M116" i="10"/>
  <c r="O116" i="10"/>
  <c r="M117" i="10"/>
  <c r="O117" i="10"/>
  <c r="M118" i="10"/>
  <c r="O118" i="10"/>
  <c r="M119" i="10"/>
  <c r="O119" i="10"/>
  <c r="M120" i="10"/>
  <c r="O120" i="10"/>
  <c r="M121" i="10"/>
  <c r="O121" i="10"/>
  <c r="M122" i="10"/>
  <c r="O122" i="10"/>
  <c r="M123" i="10"/>
  <c r="O123" i="10"/>
  <c r="M124" i="10"/>
  <c r="O124" i="10"/>
  <c r="M125" i="10"/>
  <c r="O125" i="10"/>
  <c r="M126" i="10"/>
  <c r="O126" i="10"/>
  <c r="M127" i="10"/>
  <c r="O127" i="10"/>
  <c r="M128" i="10"/>
  <c r="O128" i="10"/>
  <c r="M129" i="10"/>
  <c r="O129" i="10"/>
  <c r="M130" i="10"/>
  <c r="O130" i="10"/>
  <c r="M131" i="10"/>
  <c r="O131" i="10"/>
  <c r="M132" i="10"/>
  <c r="O132" i="10"/>
  <c r="M133" i="10"/>
  <c r="O133" i="10"/>
  <c r="M134" i="10"/>
  <c r="O134" i="10"/>
  <c r="M135" i="10"/>
  <c r="O135" i="10"/>
  <c r="M136" i="10"/>
  <c r="O136" i="10"/>
  <c r="M137" i="10"/>
  <c r="O137" i="10"/>
  <c r="M138" i="10"/>
  <c r="O138" i="10"/>
  <c r="M139" i="10"/>
  <c r="O139" i="10"/>
  <c r="M140" i="10"/>
  <c r="O140" i="10"/>
  <c r="M141" i="10"/>
  <c r="O141" i="10"/>
  <c r="M142" i="10"/>
  <c r="O142" i="10"/>
  <c r="M143" i="10"/>
  <c r="O143" i="10"/>
  <c r="M144" i="10"/>
  <c r="O144" i="10"/>
  <c r="M145" i="10"/>
  <c r="O145" i="10"/>
  <c r="M146" i="10"/>
  <c r="O146" i="10"/>
  <c r="M147" i="10"/>
  <c r="O147" i="10"/>
  <c r="M148" i="10"/>
  <c r="O148" i="10"/>
  <c r="M149" i="10"/>
  <c r="O149" i="10"/>
  <c r="M150" i="10"/>
  <c r="O150" i="10"/>
  <c r="M151" i="10"/>
  <c r="O151" i="10"/>
  <c r="M152" i="10"/>
  <c r="O152" i="10"/>
  <c r="M153" i="10"/>
  <c r="O153" i="10"/>
  <c r="M154" i="10"/>
  <c r="O154" i="10"/>
  <c r="I11" i="9"/>
  <c r="K11" i="9"/>
  <c r="I17" i="9"/>
  <c r="L17" i="9"/>
  <c r="N17" i="9"/>
  <c r="I18" i="9"/>
  <c r="L18" i="9"/>
  <c r="N18" i="9"/>
  <c r="O18" i="9" s="1"/>
  <c r="I19" i="9"/>
  <c r="L19" i="9"/>
  <c r="N19" i="9"/>
  <c r="O19" i="9" s="1"/>
  <c r="I21" i="9"/>
  <c r="N30" i="9"/>
  <c r="N31" i="9"/>
  <c r="N32" i="9"/>
  <c r="L34" i="9"/>
  <c r="N34" i="9"/>
  <c r="L35" i="9"/>
  <c r="N35" i="9"/>
  <c r="L36" i="9"/>
  <c r="N36" i="9"/>
  <c r="L37" i="9"/>
  <c r="N37" i="9"/>
  <c r="L38" i="9"/>
  <c r="N38" i="9"/>
  <c r="L39" i="9"/>
  <c r="N39" i="9"/>
  <c r="L40" i="9"/>
  <c r="N40" i="9"/>
  <c r="L41" i="9"/>
  <c r="N41" i="9"/>
  <c r="L42" i="9"/>
  <c r="N42" i="9"/>
  <c r="L43" i="9"/>
  <c r="N43" i="9"/>
  <c r="L44" i="9"/>
  <c r="N44" i="9"/>
  <c r="L45" i="9"/>
  <c r="N45" i="9"/>
  <c r="L46" i="9"/>
  <c r="N46" i="9"/>
  <c r="L47" i="9"/>
  <c r="N47" i="9"/>
  <c r="L48" i="9"/>
  <c r="N48" i="9"/>
  <c r="L49" i="9"/>
  <c r="N49" i="9"/>
  <c r="L50" i="9"/>
  <c r="N50" i="9"/>
  <c r="L51" i="9"/>
  <c r="N51" i="9"/>
  <c r="L52" i="9"/>
  <c r="N52" i="9"/>
  <c r="L53" i="9"/>
  <c r="N53" i="9"/>
  <c r="L54" i="9"/>
  <c r="N54" i="9"/>
  <c r="L55" i="9"/>
  <c r="N55" i="9"/>
  <c r="L56" i="9"/>
  <c r="N56" i="9"/>
  <c r="L57" i="9"/>
  <c r="N57" i="9"/>
  <c r="L58" i="9"/>
  <c r="N58" i="9"/>
  <c r="L59" i="9"/>
  <c r="N59" i="9"/>
  <c r="L60" i="9"/>
  <c r="N60" i="9"/>
  <c r="L61" i="9"/>
  <c r="N61" i="9"/>
  <c r="L62" i="9"/>
  <c r="N62" i="9"/>
  <c r="L63" i="9"/>
  <c r="N63" i="9"/>
  <c r="L64" i="9"/>
  <c r="N64" i="9"/>
  <c r="L65" i="9"/>
  <c r="N65" i="9"/>
  <c r="L66" i="9"/>
  <c r="N66" i="9"/>
  <c r="L67" i="9"/>
  <c r="N67" i="9"/>
  <c r="L68" i="9"/>
  <c r="N68" i="9"/>
  <c r="L69" i="9"/>
  <c r="N69" i="9"/>
  <c r="L70" i="9"/>
  <c r="N70" i="9"/>
  <c r="L71" i="9"/>
  <c r="N71" i="9"/>
  <c r="L72" i="9"/>
  <c r="N72" i="9"/>
  <c r="D89" i="9"/>
  <c r="D91" i="9"/>
  <c r="J93" i="9"/>
  <c r="L93" i="9"/>
  <c r="D96" i="9"/>
  <c r="J99" i="9"/>
  <c r="M99" i="9"/>
  <c r="O99" i="9"/>
  <c r="J100" i="9"/>
  <c r="M100" i="9"/>
  <c r="O100" i="9"/>
  <c r="J101" i="9"/>
  <c r="M101" i="9"/>
  <c r="O101" i="9"/>
  <c r="J102" i="9"/>
  <c r="M103" i="9"/>
  <c r="O103" i="9"/>
  <c r="P103" i="9" s="1"/>
  <c r="O111" i="9"/>
  <c r="O112" i="9"/>
  <c r="M114" i="9"/>
  <c r="O114" i="9"/>
  <c r="M115" i="9"/>
  <c r="O115" i="9"/>
  <c r="M116" i="9"/>
  <c r="O116" i="9"/>
  <c r="M117" i="9"/>
  <c r="O117" i="9"/>
  <c r="M118" i="9"/>
  <c r="O118" i="9"/>
  <c r="M119" i="9"/>
  <c r="O119" i="9"/>
  <c r="M120" i="9"/>
  <c r="O120" i="9"/>
  <c r="M121" i="9"/>
  <c r="O121" i="9"/>
  <c r="M122" i="9"/>
  <c r="O122" i="9"/>
  <c r="M123" i="9"/>
  <c r="O123" i="9"/>
  <c r="M124" i="9"/>
  <c r="O124" i="9"/>
  <c r="M125" i="9"/>
  <c r="O125" i="9"/>
  <c r="M126" i="9"/>
  <c r="O126" i="9"/>
  <c r="M127" i="9"/>
  <c r="O127" i="9"/>
  <c r="M128" i="9"/>
  <c r="O128" i="9"/>
  <c r="M129" i="9"/>
  <c r="O129" i="9"/>
  <c r="M130" i="9"/>
  <c r="O130" i="9"/>
  <c r="J131" i="9"/>
  <c r="M131" i="9"/>
  <c r="O131" i="9"/>
  <c r="P131" i="9"/>
  <c r="J132" i="9"/>
  <c r="M132" i="9"/>
  <c r="O132" i="9"/>
  <c r="P132" i="9"/>
  <c r="J133" i="9"/>
  <c r="M133" i="9"/>
  <c r="O133" i="9"/>
  <c r="P133" i="9"/>
  <c r="J134" i="9"/>
  <c r="M134" i="9"/>
  <c r="O134" i="9"/>
  <c r="P134" i="9"/>
  <c r="J135" i="9"/>
  <c r="M135" i="9"/>
  <c r="O135" i="9"/>
  <c r="P135" i="9"/>
  <c r="J136" i="9"/>
  <c r="M136" i="9"/>
  <c r="O136" i="9"/>
  <c r="P136" i="9"/>
  <c r="J137" i="9"/>
  <c r="M137" i="9"/>
  <c r="O137" i="9"/>
  <c r="P137" i="9"/>
  <c r="J138" i="9"/>
  <c r="M138" i="9"/>
  <c r="O138" i="9"/>
  <c r="P138" i="9"/>
  <c r="J139" i="9"/>
  <c r="M139" i="9"/>
  <c r="O139" i="9"/>
  <c r="P139" i="9"/>
  <c r="J140" i="9"/>
  <c r="M140" i="9"/>
  <c r="O140" i="9"/>
  <c r="P140" i="9"/>
  <c r="J141" i="9"/>
  <c r="M141" i="9"/>
  <c r="O141" i="9"/>
  <c r="P141" i="9"/>
  <c r="J142" i="9"/>
  <c r="M142" i="9"/>
  <c r="O142" i="9"/>
  <c r="P142" i="9"/>
  <c r="J143" i="9"/>
  <c r="M143" i="9"/>
  <c r="O143" i="9"/>
  <c r="P143" i="9"/>
  <c r="J144" i="9"/>
  <c r="M144" i="9"/>
  <c r="O144" i="9"/>
  <c r="P144" i="9"/>
  <c r="J145" i="9"/>
  <c r="M145" i="9"/>
  <c r="O145" i="9"/>
  <c r="P145" i="9"/>
  <c r="J146" i="9"/>
  <c r="M146" i="9"/>
  <c r="O146" i="9"/>
  <c r="P146" i="9"/>
  <c r="J147" i="9"/>
  <c r="M147" i="9"/>
  <c r="O147" i="9"/>
  <c r="P147" i="9"/>
  <c r="J148" i="9"/>
  <c r="M148" i="9"/>
  <c r="O148" i="9"/>
  <c r="P148" i="9"/>
  <c r="J149" i="9"/>
  <c r="M149" i="9"/>
  <c r="O149" i="9"/>
  <c r="P149" i="9"/>
  <c r="J150" i="9"/>
  <c r="M150" i="9"/>
  <c r="O150" i="9"/>
  <c r="P150" i="9"/>
  <c r="J151" i="9"/>
  <c r="M151" i="9"/>
  <c r="O151" i="9"/>
  <c r="P151" i="9"/>
  <c r="J152" i="9"/>
  <c r="M152" i="9"/>
  <c r="O152" i="9"/>
  <c r="P152" i="9"/>
  <c r="J153" i="9"/>
  <c r="M153" i="9"/>
  <c r="O153" i="9"/>
  <c r="P153" i="9"/>
  <c r="J154" i="9"/>
  <c r="M154" i="9"/>
  <c r="O154" i="9"/>
  <c r="P154" i="9"/>
  <c r="I11" i="8"/>
  <c r="K11" i="8"/>
  <c r="I17" i="8"/>
  <c r="L17" i="8"/>
  <c r="N17" i="8"/>
  <c r="I18" i="8"/>
  <c r="L18" i="8"/>
  <c r="N18" i="8"/>
  <c r="I19" i="8"/>
  <c r="I20" i="8"/>
  <c r="L20" i="8"/>
  <c r="N20" i="8"/>
  <c r="O20" i="8" s="1"/>
  <c r="L21" i="8"/>
  <c r="N29" i="8"/>
  <c r="N30" i="8"/>
  <c r="N31" i="8"/>
  <c r="L33" i="8"/>
  <c r="N33" i="8"/>
  <c r="L34" i="8"/>
  <c r="N34" i="8"/>
  <c r="L35" i="8"/>
  <c r="N35" i="8"/>
  <c r="L36" i="8"/>
  <c r="N36" i="8"/>
  <c r="L37" i="8"/>
  <c r="N37" i="8"/>
  <c r="L38" i="8"/>
  <c r="N38" i="8"/>
  <c r="L39" i="8"/>
  <c r="N39" i="8"/>
  <c r="L40" i="8"/>
  <c r="N40" i="8"/>
  <c r="L41" i="8"/>
  <c r="N41" i="8"/>
  <c r="L42" i="8"/>
  <c r="N42" i="8"/>
  <c r="L43" i="8"/>
  <c r="N43" i="8"/>
  <c r="L44" i="8"/>
  <c r="N44" i="8"/>
  <c r="L45" i="8"/>
  <c r="N45" i="8"/>
  <c r="L46" i="8"/>
  <c r="N46" i="8"/>
  <c r="L47" i="8"/>
  <c r="N47" i="8"/>
  <c r="L48" i="8"/>
  <c r="N48" i="8"/>
  <c r="L49" i="8"/>
  <c r="N49" i="8"/>
  <c r="L50" i="8"/>
  <c r="N50" i="8"/>
  <c r="L51" i="8"/>
  <c r="N51" i="8"/>
  <c r="L52" i="8"/>
  <c r="N52" i="8"/>
  <c r="L53" i="8"/>
  <c r="N53" i="8"/>
  <c r="L54" i="8"/>
  <c r="N54" i="8"/>
  <c r="L55" i="8"/>
  <c r="N55" i="8"/>
  <c r="L56" i="8"/>
  <c r="N56" i="8"/>
  <c r="L57" i="8"/>
  <c r="N57" i="8"/>
  <c r="L58" i="8"/>
  <c r="N58" i="8"/>
  <c r="L59" i="8"/>
  <c r="N59" i="8"/>
  <c r="L60" i="8"/>
  <c r="N60" i="8"/>
  <c r="L61" i="8"/>
  <c r="N61" i="8"/>
  <c r="L62" i="8"/>
  <c r="N62" i="8"/>
  <c r="L63" i="8"/>
  <c r="N63" i="8"/>
  <c r="L64" i="8"/>
  <c r="N64" i="8"/>
  <c r="L65" i="8"/>
  <c r="N65" i="8"/>
  <c r="L66" i="8"/>
  <c r="N66" i="8"/>
  <c r="L67" i="8"/>
  <c r="N67" i="8"/>
  <c r="L68" i="8"/>
  <c r="N68" i="8"/>
  <c r="L69" i="8"/>
  <c r="N69" i="8"/>
  <c r="L70" i="8"/>
  <c r="N70" i="8"/>
  <c r="L71" i="8"/>
  <c r="N71" i="8"/>
  <c r="L72" i="8"/>
  <c r="N72" i="8"/>
  <c r="D89" i="8"/>
  <c r="D91" i="8"/>
  <c r="J93" i="8"/>
  <c r="L93" i="8"/>
  <c r="D96" i="8"/>
  <c r="J99" i="8"/>
  <c r="M99" i="8"/>
  <c r="O99" i="8"/>
  <c r="J100" i="8"/>
  <c r="J101" i="8"/>
  <c r="O101" i="8"/>
  <c r="P101" i="8" s="1"/>
  <c r="M102" i="8"/>
  <c r="O110" i="8"/>
  <c r="O111" i="8"/>
  <c r="M113" i="8"/>
  <c r="O113" i="8"/>
  <c r="M114" i="8"/>
  <c r="O114" i="8"/>
  <c r="M115" i="8"/>
  <c r="O115" i="8"/>
  <c r="M116" i="8"/>
  <c r="O116" i="8"/>
  <c r="M117" i="8"/>
  <c r="O117" i="8"/>
  <c r="M118" i="8"/>
  <c r="O118" i="8"/>
  <c r="M119" i="8"/>
  <c r="O119" i="8"/>
  <c r="M120" i="8"/>
  <c r="O120" i="8"/>
  <c r="M121" i="8"/>
  <c r="O121" i="8"/>
  <c r="M122" i="8"/>
  <c r="O122" i="8"/>
  <c r="M123" i="8"/>
  <c r="O123" i="8"/>
  <c r="M124" i="8"/>
  <c r="O124" i="8"/>
  <c r="M125" i="8"/>
  <c r="O125" i="8"/>
  <c r="M126" i="8"/>
  <c r="O126" i="8"/>
  <c r="M127" i="8"/>
  <c r="O127" i="8"/>
  <c r="M128" i="8"/>
  <c r="O128" i="8"/>
  <c r="M129" i="8"/>
  <c r="O129" i="8"/>
  <c r="M130" i="8"/>
  <c r="O130" i="8"/>
  <c r="M131" i="8"/>
  <c r="O131" i="8"/>
  <c r="M132" i="8"/>
  <c r="O132" i="8"/>
  <c r="M133" i="8"/>
  <c r="O133" i="8"/>
  <c r="M134" i="8"/>
  <c r="O134" i="8"/>
  <c r="M135" i="8"/>
  <c r="O135" i="8"/>
  <c r="M136" i="8"/>
  <c r="O136" i="8"/>
  <c r="M137" i="8"/>
  <c r="O137" i="8"/>
  <c r="M138" i="8"/>
  <c r="O138" i="8"/>
  <c r="M139" i="8"/>
  <c r="O139" i="8"/>
  <c r="M140" i="8"/>
  <c r="O140" i="8"/>
  <c r="M141" i="8"/>
  <c r="O141" i="8"/>
  <c r="M142" i="8"/>
  <c r="O142" i="8"/>
  <c r="M143" i="8"/>
  <c r="O143" i="8"/>
  <c r="M144" i="8"/>
  <c r="O144" i="8"/>
  <c r="M145" i="8"/>
  <c r="O145" i="8"/>
  <c r="M146" i="8"/>
  <c r="O146" i="8"/>
  <c r="M147" i="8"/>
  <c r="O147" i="8"/>
  <c r="M148" i="8"/>
  <c r="O148" i="8"/>
  <c r="M149" i="8"/>
  <c r="O149" i="8"/>
  <c r="M150" i="8"/>
  <c r="O150" i="8"/>
  <c r="M151" i="8"/>
  <c r="O151" i="8"/>
  <c r="M152" i="8"/>
  <c r="O152" i="8"/>
  <c r="M153" i="8"/>
  <c r="O153" i="8"/>
  <c r="M154" i="8"/>
  <c r="O154" i="8"/>
  <c r="I11" i="7"/>
  <c r="K11" i="7"/>
  <c r="I17" i="7"/>
  <c r="L17" i="7"/>
  <c r="N17" i="7"/>
  <c r="I18" i="7"/>
  <c r="N18" i="7"/>
  <c r="I19" i="7"/>
  <c r="L19" i="7"/>
  <c r="N19" i="7"/>
  <c r="I20" i="7"/>
  <c r="L20" i="7"/>
  <c r="N20" i="7"/>
  <c r="I21" i="7"/>
  <c r="L21" i="7"/>
  <c r="I22" i="7"/>
  <c r="L23" i="7"/>
  <c r="N31" i="7"/>
  <c r="N32" i="7"/>
  <c r="N33" i="7"/>
  <c r="L35" i="7"/>
  <c r="N35" i="7"/>
  <c r="L36" i="7"/>
  <c r="N36" i="7"/>
  <c r="L37" i="7"/>
  <c r="N37" i="7"/>
  <c r="L38" i="7"/>
  <c r="N38" i="7"/>
  <c r="L39" i="7"/>
  <c r="N39" i="7"/>
  <c r="L40" i="7"/>
  <c r="N40" i="7"/>
  <c r="L41" i="7"/>
  <c r="N41" i="7"/>
  <c r="L42" i="7"/>
  <c r="N42" i="7"/>
  <c r="L43" i="7"/>
  <c r="N43" i="7"/>
  <c r="L44" i="7"/>
  <c r="N44" i="7"/>
  <c r="L45" i="7"/>
  <c r="N45" i="7"/>
  <c r="L46" i="7"/>
  <c r="N46" i="7"/>
  <c r="L47" i="7"/>
  <c r="N47" i="7"/>
  <c r="L48" i="7"/>
  <c r="N48" i="7"/>
  <c r="L49" i="7"/>
  <c r="N49" i="7"/>
  <c r="L50" i="7"/>
  <c r="N50" i="7"/>
  <c r="L51" i="7"/>
  <c r="N51" i="7"/>
  <c r="L52" i="7"/>
  <c r="N52" i="7"/>
  <c r="L53" i="7"/>
  <c r="N53" i="7"/>
  <c r="L54" i="7"/>
  <c r="N54" i="7"/>
  <c r="L55" i="7"/>
  <c r="N55" i="7"/>
  <c r="L56" i="7"/>
  <c r="N56" i="7"/>
  <c r="L57" i="7"/>
  <c r="N57" i="7"/>
  <c r="L58" i="7"/>
  <c r="N58" i="7"/>
  <c r="L59" i="7"/>
  <c r="N59" i="7"/>
  <c r="L60" i="7"/>
  <c r="N60" i="7"/>
  <c r="L61" i="7"/>
  <c r="N61" i="7"/>
  <c r="L62" i="7"/>
  <c r="N62" i="7"/>
  <c r="L63" i="7"/>
  <c r="N63" i="7"/>
  <c r="L64" i="7"/>
  <c r="N64" i="7"/>
  <c r="L65" i="7"/>
  <c r="N65" i="7"/>
  <c r="L66" i="7"/>
  <c r="N66" i="7"/>
  <c r="L67" i="7"/>
  <c r="N67" i="7"/>
  <c r="L68" i="7"/>
  <c r="N68" i="7"/>
  <c r="L69" i="7"/>
  <c r="N69" i="7"/>
  <c r="L70" i="7"/>
  <c r="N70" i="7"/>
  <c r="L71" i="7"/>
  <c r="N71" i="7"/>
  <c r="L72" i="7"/>
  <c r="N72" i="7"/>
  <c r="D89" i="7"/>
  <c r="D91" i="7"/>
  <c r="J93" i="7"/>
  <c r="L93" i="7"/>
  <c r="D96" i="7"/>
  <c r="J99" i="7"/>
  <c r="M99" i="7"/>
  <c r="O99" i="7"/>
  <c r="J100" i="7"/>
  <c r="M100" i="7"/>
  <c r="O100" i="7"/>
  <c r="J101" i="7"/>
  <c r="O101" i="7"/>
  <c r="J102" i="7"/>
  <c r="O102" i="7"/>
  <c r="P102" i="7" s="1"/>
  <c r="J103" i="7"/>
  <c r="M104" i="7"/>
  <c r="O112" i="7"/>
  <c r="O113" i="7"/>
  <c r="M115" i="7"/>
  <c r="O115" i="7"/>
  <c r="M116" i="7"/>
  <c r="O116" i="7"/>
  <c r="M117" i="7"/>
  <c r="O117" i="7"/>
  <c r="M118" i="7"/>
  <c r="O118" i="7"/>
  <c r="M119" i="7"/>
  <c r="O119" i="7"/>
  <c r="M120" i="7"/>
  <c r="O120" i="7"/>
  <c r="M121" i="7"/>
  <c r="O121" i="7"/>
  <c r="M122" i="7"/>
  <c r="O122" i="7"/>
  <c r="M123" i="7"/>
  <c r="O123" i="7"/>
  <c r="M124" i="7"/>
  <c r="O124" i="7"/>
  <c r="M125" i="7"/>
  <c r="O125" i="7"/>
  <c r="M126" i="7"/>
  <c r="O126" i="7"/>
  <c r="M127" i="7"/>
  <c r="O127" i="7"/>
  <c r="M128" i="7"/>
  <c r="O128" i="7"/>
  <c r="M129" i="7"/>
  <c r="O129" i="7"/>
  <c r="M130" i="7"/>
  <c r="O130" i="7"/>
  <c r="M131" i="7"/>
  <c r="O131" i="7"/>
  <c r="M132" i="7"/>
  <c r="O132" i="7"/>
  <c r="M133" i="7"/>
  <c r="O133" i="7"/>
  <c r="M134" i="7"/>
  <c r="O134" i="7"/>
  <c r="M135" i="7"/>
  <c r="O135" i="7"/>
  <c r="M136" i="7"/>
  <c r="O136" i="7"/>
  <c r="M137" i="7"/>
  <c r="O137" i="7"/>
  <c r="M138" i="7"/>
  <c r="O138" i="7"/>
  <c r="M139" i="7"/>
  <c r="O139" i="7"/>
  <c r="M140" i="7"/>
  <c r="O140" i="7"/>
  <c r="M141" i="7"/>
  <c r="O141" i="7"/>
  <c r="M142" i="7"/>
  <c r="O142" i="7"/>
  <c r="M143" i="7"/>
  <c r="O143" i="7"/>
  <c r="M144" i="7"/>
  <c r="O144" i="7"/>
  <c r="M145" i="7"/>
  <c r="O145" i="7"/>
  <c r="M146" i="7"/>
  <c r="O146" i="7"/>
  <c r="M147" i="7"/>
  <c r="O147" i="7"/>
  <c r="M148" i="7"/>
  <c r="O148" i="7"/>
  <c r="M149" i="7"/>
  <c r="O149" i="7"/>
  <c r="M150" i="7"/>
  <c r="O150" i="7"/>
  <c r="M151" i="7"/>
  <c r="O151" i="7"/>
  <c r="M152" i="7"/>
  <c r="O152" i="7"/>
  <c r="M153" i="7"/>
  <c r="O153" i="7"/>
  <c r="M154" i="7"/>
  <c r="O154" i="7"/>
  <c r="K11" i="6"/>
  <c r="I17" i="6"/>
  <c r="L17" i="6"/>
  <c r="N17" i="6"/>
  <c r="I18" i="6"/>
  <c r="L18" i="6"/>
  <c r="N18" i="6"/>
  <c r="O18" i="6" s="1"/>
  <c r="N19" i="6"/>
  <c r="L20" i="6"/>
  <c r="N20" i="6"/>
  <c r="L21" i="6"/>
  <c r="N29" i="6"/>
  <c r="N30" i="6"/>
  <c r="N31" i="6"/>
  <c r="L33" i="6"/>
  <c r="N33" i="6"/>
  <c r="L34" i="6"/>
  <c r="N34" i="6"/>
  <c r="L35" i="6"/>
  <c r="N35" i="6"/>
  <c r="L36" i="6"/>
  <c r="N36" i="6"/>
  <c r="L37" i="6"/>
  <c r="N37" i="6"/>
  <c r="L38" i="6"/>
  <c r="N38" i="6"/>
  <c r="L39" i="6"/>
  <c r="N39" i="6"/>
  <c r="L40" i="6"/>
  <c r="N40" i="6"/>
  <c r="L41" i="6"/>
  <c r="N41" i="6"/>
  <c r="L42" i="6"/>
  <c r="N42" i="6"/>
  <c r="L43" i="6"/>
  <c r="N43" i="6"/>
  <c r="L44" i="6"/>
  <c r="N44" i="6"/>
  <c r="C61" i="6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L45" i="6"/>
  <c r="N45" i="6"/>
  <c r="L46" i="6"/>
  <c r="N46" i="6"/>
  <c r="L47" i="6"/>
  <c r="N47" i="6"/>
  <c r="L48" i="6"/>
  <c r="N48" i="6"/>
  <c r="L49" i="6"/>
  <c r="N49" i="6"/>
  <c r="L50" i="6"/>
  <c r="N50" i="6"/>
  <c r="L51" i="6"/>
  <c r="N51" i="6"/>
  <c r="L52" i="6"/>
  <c r="N52" i="6"/>
  <c r="L53" i="6"/>
  <c r="N53" i="6"/>
  <c r="L54" i="6"/>
  <c r="N54" i="6"/>
  <c r="L55" i="6"/>
  <c r="N55" i="6"/>
  <c r="L56" i="6"/>
  <c r="N56" i="6"/>
  <c r="L57" i="6"/>
  <c r="N57" i="6"/>
  <c r="L58" i="6"/>
  <c r="N58" i="6"/>
  <c r="L59" i="6"/>
  <c r="N59" i="6"/>
  <c r="L60" i="6"/>
  <c r="N60" i="6"/>
  <c r="L61" i="6"/>
  <c r="N61" i="6"/>
  <c r="L62" i="6"/>
  <c r="N62" i="6"/>
  <c r="L63" i="6"/>
  <c r="N63" i="6"/>
  <c r="L64" i="6"/>
  <c r="N64" i="6"/>
  <c r="L65" i="6"/>
  <c r="N65" i="6"/>
  <c r="L66" i="6"/>
  <c r="N66" i="6"/>
  <c r="L67" i="6"/>
  <c r="N67" i="6"/>
  <c r="L68" i="6"/>
  <c r="N68" i="6"/>
  <c r="L69" i="6"/>
  <c r="N69" i="6"/>
  <c r="L70" i="6"/>
  <c r="N70" i="6"/>
  <c r="L71" i="6"/>
  <c r="N71" i="6"/>
  <c r="L72" i="6"/>
  <c r="N72" i="6"/>
  <c r="D89" i="6"/>
  <c r="D91" i="6"/>
  <c r="J93" i="6"/>
  <c r="L93" i="6"/>
  <c r="D96" i="6"/>
  <c r="J99" i="6"/>
  <c r="M99" i="6"/>
  <c r="J100" i="6"/>
  <c r="M100" i="6"/>
  <c r="J101" i="6"/>
  <c r="M101" i="6"/>
  <c r="O101" i="6"/>
  <c r="M102" i="6"/>
  <c r="O102" i="6"/>
  <c r="O110" i="6"/>
  <c r="O111" i="6"/>
  <c r="M113" i="6"/>
  <c r="O113" i="6"/>
  <c r="M114" i="6"/>
  <c r="O114" i="6"/>
  <c r="M115" i="6"/>
  <c r="O115" i="6"/>
  <c r="M116" i="6"/>
  <c r="O116" i="6"/>
  <c r="M117" i="6"/>
  <c r="O117" i="6"/>
  <c r="M118" i="6"/>
  <c r="O118" i="6"/>
  <c r="M119" i="6"/>
  <c r="O119" i="6"/>
  <c r="M120" i="6"/>
  <c r="O120" i="6"/>
  <c r="M121" i="6"/>
  <c r="O121" i="6"/>
  <c r="M122" i="6"/>
  <c r="O122" i="6"/>
  <c r="M123" i="6"/>
  <c r="O123" i="6"/>
  <c r="M124" i="6"/>
  <c r="O124" i="6"/>
  <c r="M125" i="6"/>
  <c r="O125" i="6"/>
  <c r="M126" i="6"/>
  <c r="O126" i="6"/>
  <c r="M127" i="6"/>
  <c r="O127" i="6"/>
  <c r="M128" i="6"/>
  <c r="O128" i="6"/>
  <c r="M129" i="6"/>
  <c r="O129" i="6"/>
  <c r="M130" i="6"/>
  <c r="O130" i="6"/>
  <c r="M131" i="6"/>
  <c r="O131" i="6"/>
  <c r="M132" i="6"/>
  <c r="O132" i="6"/>
  <c r="M133" i="6"/>
  <c r="O133" i="6"/>
  <c r="M134" i="6"/>
  <c r="O134" i="6"/>
  <c r="M135" i="6"/>
  <c r="O135" i="6"/>
  <c r="M136" i="6"/>
  <c r="O136" i="6"/>
  <c r="M137" i="6"/>
  <c r="O137" i="6"/>
  <c r="M138" i="6"/>
  <c r="O138" i="6"/>
  <c r="M139" i="6"/>
  <c r="O139" i="6"/>
  <c r="M140" i="6"/>
  <c r="O140" i="6"/>
  <c r="M141" i="6"/>
  <c r="O141" i="6"/>
  <c r="M142" i="6"/>
  <c r="O142" i="6"/>
  <c r="M143" i="6"/>
  <c r="O143" i="6"/>
  <c r="M144" i="6"/>
  <c r="O144" i="6"/>
  <c r="M145" i="6"/>
  <c r="O145" i="6"/>
  <c r="M146" i="6"/>
  <c r="O146" i="6"/>
  <c r="M147" i="6"/>
  <c r="O147" i="6"/>
  <c r="M148" i="6"/>
  <c r="O148" i="6"/>
  <c r="M149" i="6"/>
  <c r="O149" i="6"/>
  <c r="M150" i="6"/>
  <c r="O150" i="6"/>
  <c r="M151" i="6"/>
  <c r="O151" i="6"/>
  <c r="M152" i="6"/>
  <c r="O152" i="6"/>
  <c r="M153" i="6"/>
  <c r="O153" i="6"/>
  <c r="M154" i="6"/>
  <c r="O154" i="6"/>
  <c r="K11" i="5"/>
  <c r="I17" i="5"/>
  <c r="L17" i="5"/>
  <c r="N17" i="5"/>
  <c r="O17" i="5" s="1"/>
  <c r="I18" i="5"/>
  <c r="L18" i="5"/>
  <c r="N18" i="5"/>
  <c r="I19" i="5"/>
  <c r="N19" i="5"/>
  <c r="O19" i="5" s="1"/>
  <c r="L20" i="5"/>
  <c r="N28" i="5"/>
  <c r="O28" i="5" s="1"/>
  <c r="N29" i="5"/>
  <c r="N30" i="5"/>
  <c r="L32" i="5"/>
  <c r="N32" i="5"/>
  <c r="L33" i="5"/>
  <c r="N33" i="5"/>
  <c r="L34" i="5"/>
  <c r="N34" i="5"/>
  <c r="L35" i="5"/>
  <c r="N35" i="5"/>
  <c r="L36" i="5"/>
  <c r="N36" i="5"/>
  <c r="L37" i="5"/>
  <c r="N37" i="5"/>
  <c r="L38" i="5"/>
  <c r="N38" i="5"/>
  <c r="L39" i="5"/>
  <c r="N39" i="5"/>
  <c r="L40" i="5"/>
  <c r="N40" i="5"/>
  <c r="L41" i="5"/>
  <c r="N41" i="5"/>
  <c r="L42" i="5"/>
  <c r="N42" i="5"/>
  <c r="L43" i="5"/>
  <c r="N43" i="5"/>
  <c r="L44" i="5"/>
  <c r="N44" i="5"/>
  <c r="L45" i="5"/>
  <c r="N45" i="5"/>
  <c r="L46" i="5"/>
  <c r="N46" i="5"/>
  <c r="L47" i="5"/>
  <c r="N47" i="5"/>
  <c r="L48" i="5"/>
  <c r="N48" i="5"/>
  <c r="I49" i="5"/>
  <c r="L49" i="5"/>
  <c r="N49" i="5"/>
  <c r="O49" i="5"/>
  <c r="I50" i="5"/>
  <c r="L50" i="5"/>
  <c r="N50" i="5"/>
  <c r="O50" i="5"/>
  <c r="I51" i="5"/>
  <c r="L51" i="5"/>
  <c r="N51" i="5"/>
  <c r="O51" i="5"/>
  <c r="I52" i="5"/>
  <c r="L52" i="5"/>
  <c r="N52" i="5"/>
  <c r="O52" i="5"/>
  <c r="I53" i="5"/>
  <c r="L53" i="5"/>
  <c r="N53" i="5"/>
  <c r="O53" i="5"/>
  <c r="I54" i="5"/>
  <c r="L54" i="5"/>
  <c r="N54" i="5"/>
  <c r="O54" i="5"/>
  <c r="I55" i="5"/>
  <c r="L55" i="5"/>
  <c r="N55" i="5"/>
  <c r="O55" i="5"/>
  <c r="I56" i="5"/>
  <c r="L56" i="5"/>
  <c r="N56" i="5"/>
  <c r="O56" i="5"/>
  <c r="I57" i="5"/>
  <c r="L57" i="5"/>
  <c r="N57" i="5"/>
  <c r="O57" i="5"/>
  <c r="I58" i="5"/>
  <c r="L58" i="5"/>
  <c r="N58" i="5"/>
  <c r="O58" i="5"/>
  <c r="I59" i="5"/>
  <c r="L59" i="5"/>
  <c r="N59" i="5"/>
  <c r="O59" i="5"/>
  <c r="I60" i="5"/>
  <c r="L60" i="5"/>
  <c r="N60" i="5"/>
  <c r="O60" i="5"/>
  <c r="I61" i="5"/>
  <c r="L61" i="5"/>
  <c r="N61" i="5"/>
  <c r="O61" i="5"/>
  <c r="I62" i="5"/>
  <c r="L62" i="5"/>
  <c r="N62" i="5"/>
  <c r="O62" i="5"/>
  <c r="I63" i="5"/>
  <c r="L63" i="5"/>
  <c r="N63" i="5"/>
  <c r="O63" i="5"/>
  <c r="I64" i="5"/>
  <c r="L64" i="5"/>
  <c r="N64" i="5"/>
  <c r="O64" i="5"/>
  <c r="I65" i="5"/>
  <c r="L65" i="5"/>
  <c r="N65" i="5"/>
  <c r="O65" i="5"/>
  <c r="I66" i="5"/>
  <c r="L66" i="5"/>
  <c r="N66" i="5"/>
  <c r="O66" i="5"/>
  <c r="I67" i="5"/>
  <c r="L67" i="5"/>
  <c r="N67" i="5"/>
  <c r="O67" i="5"/>
  <c r="I68" i="5"/>
  <c r="L68" i="5"/>
  <c r="N68" i="5"/>
  <c r="O68" i="5"/>
  <c r="I69" i="5"/>
  <c r="L69" i="5"/>
  <c r="N69" i="5"/>
  <c r="O69" i="5"/>
  <c r="I70" i="5"/>
  <c r="L70" i="5"/>
  <c r="N70" i="5"/>
  <c r="O70" i="5"/>
  <c r="I71" i="5"/>
  <c r="L71" i="5"/>
  <c r="N71" i="5"/>
  <c r="O71" i="5"/>
  <c r="I72" i="5"/>
  <c r="L72" i="5"/>
  <c r="N72" i="5"/>
  <c r="O72" i="5"/>
  <c r="D89" i="5"/>
  <c r="D91" i="5"/>
  <c r="J93" i="5"/>
  <c r="L93" i="5"/>
  <c r="D96" i="5"/>
  <c r="J99" i="5"/>
  <c r="O99" i="5"/>
  <c r="P99" i="5" s="1"/>
  <c r="J100" i="5"/>
  <c r="M100" i="5"/>
  <c r="M101" i="5"/>
  <c r="O101" i="5"/>
  <c r="P101" i="5" s="1"/>
  <c r="O109" i="5"/>
  <c r="O110" i="5"/>
  <c r="M112" i="5"/>
  <c r="O112" i="5"/>
  <c r="M113" i="5"/>
  <c r="O113" i="5"/>
  <c r="M114" i="5"/>
  <c r="O114" i="5"/>
  <c r="M115" i="5"/>
  <c r="O115" i="5"/>
  <c r="M116" i="5"/>
  <c r="O116" i="5"/>
  <c r="M117" i="5"/>
  <c r="O117" i="5"/>
  <c r="M118" i="5"/>
  <c r="O118" i="5"/>
  <c r="M119" i="5"/>
  <c r="O119" i="5"/>
  <c r="M120" i="5"/>
  <c r="O120" i="5"/>
  <c r="M121" i="5"/>
  <c r="O121" i="5"/>
  <c r="M122" i="5"/>
  <c r="O122" i="5"/>
  <c r="M123" i="5"/>
  <c r="O123" i="5"/>
  <c r="M124" i="5"/>
  <c r="O124" i="5"/>
  <c r="M125" i="5"/>
  <c r="O125" i="5"/>
  <c r="M126" i="5"/>
  <c r="O126" i="5"/>
  <c r="M127" i="5"/>
  <c r="O127" i="5"/>
  <c r="M128" i="5"/>
  <c r="O128" i="5"/>
  <c r="M129" i="5"/>
  <c r="O129" i="5"/>
  <c r="M130" i="5"/>
  <c r="O130" i="5"/>
  <c r="M131" i="5"/>
  <c r="O131" i="5"/>
  <c r="M132" i="5"/>
  <c r="O132" i="5"/>
  <c r="M133" i="5"/>
  <c r="O133" i="5"/>
  <c r="M134" i="5"/>
  <c r="O134" i="5"/>
  <c r="M135" i="5"/>
  <c r="O135" i="5"/>
  <c r="M136" i="5"/>
  <c r="O136" i="5"/>
  <c r="M137" i="5"/>
  <c r="O137" i="5"/>
  <c r="M138" i="5"/>
  <c r="O138" i="5"/>
  <c r="M139" i="5"/>
  <c r="O139" i="5"/>
  <c r="M140" i="5"/>
  <c r="O140" i="5"/>
  <c r="M141" i="5"/>
  <c r="O141" i="5"/>
  <c r="M142" i="5"/>
  <c r="O142" i="5"/>
  <c r="M143" i="5"/>
  <c r="O143" i="5"/>
  <c r="M144" i="5"/>
  <c r="O144" i="5"/>
  <c r="M145" i="5"/>
  <c r="O145" i="5"/>
  <c r="M146" i="5"/>
  <c r="O146" i="5"/>
  <c r="M147" i="5"/>
  <c r="O147" i="5"/>
  <c r="M148" i="5"/>
  <c r="O148" i="5"/>
  <c r="M149" i="5"/>
  <c r="O149" i="5"/>
  <c r="M150" i="5"/>
  <c r="O150" i="5"/>
  <c r="M151" i="5"/>
  <c r="O151" i="5"/>
  <c r="M152" i="5"/>
  <c r="O152" i="5"/>
  <c r="M153" i="5"/>
  <c r="O153" i="5"/>
  <c r="M154" i="5"/>
  <c r="O154" i="5"/>
  <c r="K11" i="4"/>
  <c r="I17" i="4"/>
  <c r="L17" i="4"/>
  <c r="N17" i="4"/>
  <c r="I18" i="4"/>
  <c r="L18" i="4"/>
  <c r="I19" i="4"/>
  <c r="L19" i="4"/>
  <c r="N19" i="4"/>
  <c r="O19" i="4" s="1"/>
  <c r="L20" i="4"/>
  <c r="N28" i="4"/>
  <c r="N29" i="4"/>
  <c r="N30" i="4"/>
  <c r="L32" i="4"/>
  <c r="N32" i="4"/>
  <c r="L33" i="4"/>
  <c r="N33" i="4"/>
  <c r="L34" i="4"/>
  <c r="N34" i="4"/>
  <c r="L35" i="4"/>
  <c r="N35" i="4"/>
  <c r="L36" i="4"/>
  <c r="N36" i="4"/>
  <c r="L37" i="4"/>
  <c r="N37" i="4"/>
  <c r="L38" i="4"/>
  <c r="N38" i="4"/>
  <c r="L39" i="4"/>
  <c r="N39" i="4"/>
  <c r="L40" i="4"/>
  <c r="N40" i="4"/>
  <c r="L41" i="4"/>
  <c r="N41" i="4"/>
  <c r="L42" i="4"/>
  <c r="N42" i="4"/>
  <c r="L43" i="4"/>
  <c r="N43" i="4"/>
  <c r="L44" i="4"/>
  <c r="N44" i="4"/>
  <c r="L45" i="4"/>
  <c r="N45" i="4"/>
  <c r="L46" i="4"/>
  <c r="N46" i="4"/>
  <c r="L47" i="4"/>
  <c r="N47" i="4"/>
  <c r="L48" i="4"/>
  <c r="N48" i="4"/>
  <c r="L49" i="4"/>
  <c r="N49" i="4"/>
  <c r="L50" i="4"/>
  <c r="N50" i="4"/>
  <c r="L51" i="4"/>
  <c r="N51" i="4"/>
  <c r="L52" i="4"/>
  <c r="N52" i="4"/>
  <c r="L53" i="4"/>
  <c r="N53" i="4"/>
  <c r="L54" i="4"/>
  <c r="N54" i="4"/>
  <c r="L55" i="4"/>
  <c r="N55" i="4"/>
  <c r="L56" i="4"/>
  <c r="N56" i="4"/>
  <c r="L57" i="4"/>
  <c r="N57" i="4"/>
  <c r="L58" i="4"/>
  <c r="N58" i="4"/>
  <c r="L59" i="4"/>
  <c r="N59" i="4"/>
  <c r="L60" i="4"/>
  <c r="N60" i="4"/>
  <c r="L61" i="4"/>
  <c r="N61" i="4"/>
  <c r="L62" i="4"/>
  <c r="N62" i="4"/>
  <c r="L63" i="4"/>
  <c r="N63" i="4"/>
  <c r="L64" i="4"/>
  <c r="N64" i="4"/>
  <c r="L65" i="4"/>
  <c r="N65" i="4"/>
  <c r="L66" i="4"/>
  <c r="N66" i="4"/>
  <c r="L67" i="4"/>
  <c r="N67" i="4"/>
  <c r="L68" i="4"/>
  <c r="N68" i="4"/>
  <c r="L69" i="4"/>
  <c r="N69" i="4"/>
  <c r="L70" i="4"/>
  <c r="N70" i="4"/>
  <c r="L71" i="4"/>
  <c r="N71" i="4"/>
  <c r="L72" i="4"/>
  <c r="N72" i="4"/>
  <c r="D89" i="4"/>
  <c r="D91" i="4"/>
  <c r="J93" i="4"/>
  <c r="L93" i="4"/>
  <c r="D96" i="4"/>
  <c r="J99" i="4"/>
  <c r="M99" i="4"/>
  <c r="O99" i="4"/>
  <c r="J100" i="4"/>
  <c r="M100" i="4"/>
  <c r="O100" i="4"/>
  <c r="M101" i="4"/>
  <c r="P105" i="4"/>
  <c r="O109" i="4"/>
  <c r="O110" i="4"/>
  <c r="M112" i="4"/>
  <c r="O112" i="4"/>
  <c r="M113" i="4"/>
  <c r="O113" i="4"/>
  <c r="M114" i="4"/>
  <c r="O114" i="4"/>
  <c r="M115" i="4"/>
  <c r="O115" i="4"/>
  <c r="M116" i="4"/>
  <c r="O116" i="4"/>
  <c r="M117" i="4"/>
  <c r="O117" i="4"/>
  <c r="M118" i="4"/>
  <c r="O118" i="4"/>
  <c r="M119" i="4"/>
  <c r="O119" i="4"/>
  <c r="M120" i="4"/>
  <c r="O120" i="4"/>
  <c r="M121" i="4"/>
  <c r="O121" i="4"/>
  <c r="M122" i="4"/>
  <c r="O122" i="4"/>
  <c r="M123" i="4"/>
  <c r="O123" i="4"/>
  <c r="M124" i="4"/>
  <c r="O124" i="4"/>
  <c r="M125" i="4"/>
  <c r="O125" i="4"/>
  <c r="M126" i="4"/>
  <c r="O126" i="4"/>
  <c r="M127" i="4"/>
  <c r="O127" i="4"/>
  <c r="M128" i="4"/>
  <c r="O128" i="4"/>
  <c r="M129" i="4"/>
  <c r="O129" i="4"/>
  <c r="M130" i="4"/>
  <c r="O130" i="4"/>
  <c r="M131" i="4"/>
  <c r="O131" i="4"/>
  <c r="M132" i="4"/>
  <c r="O132" i="4"/>
  <c r="M133" i="4"/>
  <c r="O133" i="4"/>
  <c r="M134" i="4"/>
  <c r="O134" i="4"/>
  <c r="M135" i="4"/>
  <c r="O135" i="4"/>
  <c r="M136" i="4"/>
  <c r="O136" i="4"/>
  <c r="M137" i="4"/>
  <c r="O137" i="4"/>
  <c r="M138" i="4"/>
  <c r="O138" i="4"/>
  <c r="M139" i="4"/>
  <c r="O139" i="4"/>
  <c r="M140" i="4"/>
  <c r="O140" i="4"/>
  <c r="M141" i="4"/>
  <c r="O141" i="4"/>
  <c r="M142" i="4"/>
  <c r="O142" i="4"/>
  <c r="M143" i="4"/>
  <c r="O143" i="4"/>
  <c r="M144" i="4"/>
  <c r="O144" i="4"/>
  <c r="M145" i="4"/>
  <c r="O145" i="4"/>
  <c r="M146" i="4"/>
  <c r="O146" i="4"/>
  <c r="M147" i="4"/>
  <c r="O147" i="4"/>
  <c r="M148" i="4"/>
  <c r="O148" i="4"/>
  <c r="M149" i="4"/>
  <c r="O149" i="4"/>
  <c r="M150" i="4"/>
  <c r="O150" i="4"/>
  <c r="M151" i="4"/>
  <c r="O151" i="4"/>
  <c r="M152" i="4"/>
  <c r="O152" i="4"/>
  <c r="M153" i="4"/>
  <c r="O153" i="4"/>
  <c r="M154" i="4"/>
  <c r="O154" i="4"/>
  <c r="K11" i="3"/>
  <c r="I17" i="3"/>
  <c r="L17" i="3"/>
  <c r="N17" i="3"/>
  <c r="L18" i="3"/>
  <c r="N19" i="3"/>
  <c r="O19" i="3" s="1"/>
  <c r="N28" i="3"/>
  <c r="N29" i="3"/>
  <c r="N30" i="3"/>
  <c r="L32" i="3"/>
  <c r="N32" i="3"/>
  <c r="L33" i="3"/>
  <c r="N33" i="3"/>
  <c r="L34" i="3"/>
  <c r="N34" i="3"/>
  <c r="L35" i="3"/>
  <c r="N35" i="3"/>
  <c r="L36" i="3"/>
  <c r="N36" i="3"/>
  <c r="L37" i="3"/>
  <c r="N37" i="3"/>
  <c r="L38" i="3"/>
  <c r="N38" i="3"/>
  <c r="L39" i="3"/>
  <c r="N39" i="3"/>
  <c r="L40" i="3"/>
  <c r="N40" i="3"/>
  <c r="L41" i="3"/>
  <c r="N41" i="3"/>
  <c r="L42" i="3"/>
  <c r="N42" i="3"/>
  <c r="L43" i="3"/>
  <c r="N43" i="3"/>
  <c r="L44" i="3"/>
  <c r="N44" i="3"/>
  <c r="L45" i="3"/>
  <c r="N45" i="3"/>
  <c r="L46" i="3"/>
  <c r="N46" i="3"/>
  <c r="L47" i="3"/>
  <c r="N47" i="3"/>
  <c r="L48" i="3"/>
  <c r="N48" i="3"/>
  <c r="L49" i="3"/>
  <c r="N49" i="3"/>
  <c r="L50" i="3"/>
  <c r="N50" i="3"/>
  <c r="L51" i="3"/>
  <c r="N51" i="3"/>
  <c r="L52" i="3"/>
  <c r="N52" i="3"/>
  <c r="L53" i="3"/>
  <c r="N53" i="3"/>
  <c r="L54" i="3"/>
  <c r="N54" i="3"/>
  <c r="L55" i="3"/>
  <c r="N55" i="3"/>
  <c r="L56" i="3"/>
  <c r="N56" i="3"/>
  <c r="L57" i="3"/>
  <c r="N57" i="3"/>
  <c r="L58" i="3"/>
  <c r="N58" i="3"/>
  <c r="L59" i="3"/>
  <c r="N59" i="3"/>
  <c r="L60" i="3"/>
  <c r="N60" i="3"/>
  <c r="L61" i="3"/>
  <c r="N61" i="3"/>
  <c r="L62" i="3"/>
  <c r="N62" i="3"/>
  <c r="L63" i="3"/>
  <c r="N63" i="3"/>
  <c r="L64" i="3"/>
  <c r="N64" i="3"/>
  <c r="L65" i="3"/>
  <c r="N65" i="3"/>
  <c r="L66" i="3"/>
  <c r="N66" i="3"/>
  <c r="L67" i="3"/>
  <c r="N67" i="3"/>
  <c r="L68" i="3"/>
  <c r="N68" i="3"/>
  <c r="L69" i="3"/>
  <c r="N69" i="3"/>
  <c r="L70" i="3"/>
  <c r="N70" i="3"/>
  <c r="L71" i="3"/>
  <c r="N71" i="3"/>
  <c r="L72" i="3"/>
  <c r="N72" i="3"/>
  <c r="D89" i="3"/>
  <c r="D91" i="3"/>
  <c r="J93" i="3"/>
  <c r="L93" i="3"/>
  <c r="D96" i="3"/>
  <c r="J99" i="3"/>
  <c r="M99" i="3"/>
  <c r="O99" i="3"/>
  <c r="J100" i="3"/>
  <c r="M100" i="3"/>
  <c r="M101" i="3"/>
  <c r="O109" i="3"/>
  <c r="O110" i="3"/>
  <c r="M112" i="3"/>
  <c r="O112" i="3"/>
  <c r="M113" i="3"/>
  <c r="O113" i="3"/>
  <c r="M114" i="3"/>
  <c r="O114" i="3"/>
  <c r="M115" i="3"/>
  <c r="O115" i="3"/>
  <c r="M116" i="3"/>
  <c r="O116" i="3"/>
  <c r="M117" i="3"/>
  <c r="O117" i="3"/>
  <c r="M118" i="3"/>
  <c r="O118" i="3"/>
  <c r="M119" i="3"/>
  <c r="O119" i="3"/>
  <c r="M120" i="3"/>
  <c r="O120" i="3"/>
  <c r="M121" i="3"/>
  <c r="O121" i="3"/>
  <c r="M122" i="3"/>
  <c r="O122" i="3"/>
  <c r="M123" i="3"/>
  <c r="O123" i="3"/>
  <c r="M124" i="3"/>
  <c r="O124" i="3"/>
  <c r="M125" i="3"/>
  <c r="O125" i="3"/>
  <c r="M126" i="3"/>
  <c r="O126" i="3"/>
  <c r="M127" i="3"/>
  <c r="O127" i="3"/>
  <c r="M128" i="3"/>
  <c r="O128" i="3"/>
  <c r="M129" i="3"/>
  <c r="O129" i="3"/>
  <c r="M130" i="3"/>
  <c r="O130" i="3"/>
  <c r="M131" i="3"/>
  <c r="O131" i="3"/>
  <c r="M132" i="3"/>
  <c r="O132" i="3"/>
  <c r="M133" i="3"/>
  <c r="O133" i="3"/>
  <c r="M134" i="3"/>
  <c r="O134" i="3"/>
  <c r="M135" i="3"/>
  <c r="O135" i="3"/>
  <c r="M136" i="3"/>
  <c r="O136" i="3"/>
  <c r="M137" i="3"/>
  <c r="O137" i="3"/>
  <c r="M138" i="3"/>
  <c r="O138" i="3"/>
  <c r="M139" i="3"/>
  <c r="O139" i="3"/>
  <c r="M140" i="3"/>
  <c r="O140" i="3"/>
  <c r="M141" i="3"/>
  <c r="O141" i="3"/>
  <c r="M142" i="3"/>
  <c r="O142" i="3"/>
  <c r="M143" i="3"/>
  <c r="O143" i="3"/>
  <c r="M144" i="3"/>
  <c r="O144" i="3"/>
  <c r="M145" i="3"/>
  <c r="O145" i="3"/>
  <c r="M146" i="3"/>
  <c r="O146" i="3"/>
  <c r="M147" i="3"/>
  <c r="O147" i="3"/>
  <c r="M148" i="3"/>
  <c r="O148" i="3"/>
  <c r="M149" i="3"/>
  <c r="O149" i="3"/>
  <c r="M150" i="3"/>
  <c r="O150" i="3"/>
  <c r="M151" i="3"/>
  <c r="O151" i="3"/>
  <c r="M152" i="3"/>
  <c r="O152" i="3"/>
  <c r="M153" i="3"/>
  <c r="O153" i="3"/>
  <c r="M154" i="3"/>
  <c r="O154" i="3"/>
  <c r="F12" i="2"/>
  <c r="D17" i="2"/>
  <c r="E17" i="2"/>
  <c r="D18" i="2"/>
  <c r="E18" i="2"/>
  <c r="D19" i="2"/>
  <c r="C24" i="2"/>
  <c r="E24" i="2"/>
  <c r="C31" i="2"/>
  <c r="E31" i="2"/>
  <c r="E34" i="2"/>
  <c r="C40" i="2"/>
  <c r="C44" i="2"/>
  <c r="F44" i="2"/>
  <c r="C45" i="2"/>
  <c r="F45" i="2"/>
  <c r="C46" i="2"/>
  <c r="F46" i="2"/>
  <c r="C47" i="2"/>
  <c r="F47" i="2"/>
  <c r="C52" i="2"/>
  <c r="F64" i="2"/>
  <c r="C58" i="2"/>
  <c r="F58" i="2"/>
  <c r="C64" i="2"/>
  <c r="C75" i="2"/>
  <c r="F75" i="2"/>
  <c r="C81" i="2"/>
  <c r="C90" i="2"/>
  <c r="D17" i="1"/>
  <c r="E18" i="1"/>
  <c r="E24" i="1"/>
  <c r="E31" i="1"/>
  <c r="E34" i="1"/>
  <c r="C40" i="1"/>
  <c r="C44" i="1"/>
  <c r="F44" i="1"/>
  <c r="F45" i="1"/>
  <c r="F46" i="1"/>
  <c r="F47" i="1"/>
  <c r="C52" i="1"/>
  <c r="F64" i="1"/>
  <c r="F58" i="1"/>
  <c r="F75" i="1"/>
  <c r="C89" i="1"/>
  <c r="C90" i="1"/>
  <c r="S132" i="1"/>
  <c r="S133" i="1"/>
  <c r="S134" i="1"/>
  <c r="I20" i="6"/>
  <c r="I19" i="6"/>
  <c r="B21" i="8"/>
  <c r="B21" i="6"/>
  <c r="B19" i="22"/>
  <c r="D8" i="3"/>
  <c r="D90" i="3" s="1"/>
  <c r="B23" i="7"/>
  <c r="B21" i="5"/>
  <c r="B21" i="4"/>
  <c r="I21" i="8"/>
  <c r="B20" i="3"/>
  <c r="I20" i="5"/>
  <c r="B23" i="11"/>
  <c r="I23" i="10"/>
  <c r="I19" i="22"/>
  <c r="I22" i="11"/>
  <c r="B22" i="8"/>
  <c r="I18" i="23"/>
  <c r="B20" i="22"/>
  <c r="I23" i="7"/>
  <c r="I17" i="25"/>
  <c r="B24" i="7"/>
  <c r="I20" i="4"/>
  <c r="B22" i="6"/>
  <c r="I20" i="3"/>
  <c r="I22" i="9"/>
  <c r="I17" i="24"/>
  <c r="B100" i="23"/>
  <c r="I21" i="6"/>
  <c r="B105" i="7"/>
  <c r="B101" i="22"/>
  <c r="B103" i="8"/>
  <c r="B103" i="6"/>
  <c r="B105" i="10"/>
  <c r="B102" i="4"/>
  <c r="J104" i="7"/>
  <c r="J99" i="23"/>
  <c r="J103" i="11"/>
  <c r="J103" i="9"/>
  <c r="J104" i="10"/>
  <c r="J101" i="3"/>
  <c r="J101" i="4"/>
  <c r="J102" i="6"/>
  <c r="J100" i="22"/>
  <c r="J102" i="8"/>
  <c r="J101" i="5"/>
  <c r="B18" i="25"/>
  <c r="P99" i="23"/>
  <c r="P100" i="22"/>
  <c r="B104" i="11"/>
  <c r="B24" i="10"/>
  <c r="B104" i="9"/>
  <c r="B23" i="9"/>
  <c r="B102" i="5"/>
  <c r="O20" i="5"/>
  <c r="O20" i="4"/>
  <c r="B102" i="3"/>
  <c r="B21" i="3"/>
  <c r="O18" i="25"/>
  <c r="B19" i="25"/>
  <c r="B20" i="25"/>
  <c r="I18" i="25"/>
  <c r="C99" i="27"/>
  <c r="C100" i="27" s="1"/>
  <c r="C101" i="27" s="1"/>
  <c r="C102" i="27" s="1"/>
  <c r="C103" i="27" s="1"/>
  <c r="C104" i="27" s="1"/>
  <c r="C105" i="27" s="1"/>
  <c r="C106" i="27" s="1"/>
  <c r="C107" i="27" s="1"/>
  <c r="C108" i="27" s="1"/>
  <c r="C109" i="27" s="1"/>
  <c r="C110" i="27" s="1"/>
  <c r="C111" i="27" s="1"/>
  <c r="C112" i="27" s="1"/>
  <c r="C113" i="27" s="1"/>
  <c r="C114" i="27" s="1"/>
  <c r="C115" i="27" s="1"/>
  <c r="C116" i="27" s="1"/>
  <c r="C117" i="27" s="1"/>
  <c r="C118" i="27" s="1"/>
  <c r="C119" i="27" s="1"/>
  <c r="C120" i="27" s="1"/>
  <c r="C121" i="27" s="1"/>
  <c r="C122" i="27" s="1"/>
  <c r="C123" i="27" s="1"/>
  <c r="C124" i="27" s="1"/>
  <c r="C125" i="27" s="1"/>
  <c r="C126" i="27" s="1"/>
  <c r="C127" i="27" s="1"/>
  <c r="C128" i="27" s="1"/>
  <c r="C129" i="27" s="1"/>
  <c r="C130" i="27" s="1"/>
  <c r="C131" i="27" s="1"/>
  <c r="C132" i="27" s="1"/>
  <c r="C133" i="27" s="1"/>
  <c r="C134" i="27" s="1"/>
  <c r="C135" i="27" s="1"/>
  <c r="C136" i="27" s="1"/>
  <c r="C137" i="27" s="1"/>
  <c r="C138" i="27" s="1"/>
  <c r="C139" i="27" s="1"/>
  <c r="C140" i="27" s="1"/>
  <c r="C141" i="27" s="1"/>
  <c r="C142" i="27" s="1"/>
  <c r="C143" i="27" s="1"/>
  <c r="C144" i="27" s="1"/>
  <c r="C145" i="27" s="1"/>
  <c r="C146" i="27" s="1"/>
  <c r="C147" i="27" s="1"/>
  <c r="C148" i="27" s="1"/>
  <c r="C149" i="27" s="1"/>
  <c r="C150" i="27" s="1"/>
  <c r="C151" i="27" s="1"/>
  <c r="C152" i="27" s="1"/>
  <c r="C153" i="27" s="1"/>
  <c r="C154" i="27" s="1"/>
  <c r="B24" i="11"/>
  <c r="B21" i="22"/>
  <c r="B102" i="25"/>
  <c r="B25" i="7"/>
  <c r="B23" i="6"/>
  <c r="B22" i="3"/>
  <c r="B22" i="4"/>
  <c r="B103" i="4"/>
  <c r="B105" i="9"/>
  <c r="B106" i="7"/>
  <c r="B102" i="22"/>
  <c r="B103" i="3"/>
  <c r="B101" i="23"/>
  <c r="B105" i="11"/>
  <c r="B104" i="8"/>
  <c r="B106" i="10"/>
  <c r="B103" i="5"/>
  <c r="B21" i="25"/>
  <c r="B18" i="27"/>
  <c r="I18" i="24"/>
  <c r="B19" i="24"/>
  <c r="K18" i="24"/>
  <c r="L18" i="24" s="1"/>
  <c r="B18" i="24"/>
  <c r="P102" i="5"/>
  <c r="C100" i="28"/>
  <c r="C101" i="28" s="1"/>
  <c r="C102" i="28" s="1"/>
  <c r="C103" i="28" s="1"/>
  <c r="C104" i="28" s="1"/>
  <c r="C105" i="28" s="1"/>
  <c r="C106" i="28" s="1"/>
  <c r="C107" i="28" s="1"/>
  <c r="C108" i="28" s="1"/>
  <c r="C109" i="28" s="1"/>
  <c r="C110" i="28" s="1"/>
  <c r="C111" i="28" s="1"/>
  <c r="C112" i="28" s="1"/>
  <c r="C113" i="28" s="1"/>
  <c r="C114" i="28" s="1"/>
  <c r="C115" i="28" s="1"/>
  <c r="C116" i="28" s="1"/>
  <c r="C117" i="28" s="1"/>
  <c r="C118" i="28" s="1"/>
  <c r="C119" i="28" s="1"/>
  <c r="C120" i="28" s="1"/>
  <c r="C121" i="28" s="1"/>
  <c r="C122" i="28" s="1"/>
  <c r="C123" i="28" s="1"/>
  <c r="C124" i="28" s="1"/>
  <c r="C125" i="28" s="1"/>
  <c r="C126" i="28" s="1"/>
  <c r="C127" i="28" s="1"/>
  <c r="C128" i="28" s="1"/>
  <c r="C129" i="28" s="1"/>
  <c r="C130" i="28" s="1"/>
  <c r="C131" i="28" s="1"/>
  <c r="C132" i="28" s="1"/>
  <c r="C133" i="28" s="1"/>
  <c r="C134" i="28" s="1"/>
  <c r="C135" i="28" s="1"/>
  <c r="C136" i="28" s="1"/>
  <c r="C137" i="28" s="1"/>
  <c r="C138" i="28" s="1"/>
  <c r="C139" i="28" s="1"/>
  <c r="C140" i="28" s="1"/>
  <c r="C141" i="28" s="1"/>
  <c r="C142" i="28" s="1"/>
  <c r="C143" i="28" s="1"/>
  <c r="C144" i="28" s="1"/>
  <c r="C145" i="28" s="1"/>
  <c r="C146" i="28" s="1"/>
  <c r="C147" i="28" s="1"/>
  <c r="C148" i="28" s="1"/>
  <c r="C149" i="28" s="1"/>
  <c r="C150" i="28" s="1"/>
  <c r="C151" i="28" s="1"/>
  <c r="C152" i="28" s="1"/>
  <c r="C153" i="28" s="1"/>
  <c r="C154" i="28" s="1"/>
  <c r="C99" i="24"/>
  <c r="P104" i="11"/>
  <c r="O24" i="10"/>
  <c r="B25" i="10"/>
  <c r="B24" i="9"/>
  <c r="B23" i="8"/>
  <c r="B104" i="6"/>
  <c r="B22" i="5"/>
  <c r="O21" i="4"/>
  <c r="P102" i="3"/>
  <c r="M18" i="24"/>
  <c r="N18" i="24" s="1"/>
  <c r="B100" i="24"/>
  <c r="N99" i="24"/>
  <c r="O99" i="24" s="1"/>
  <c r="L99" i="24"/>
  <c r="M99" i="24" s="1"/>
  <c r="J99" i="24"/>
  <c r="D8" i="23"/>
  <c r="D90" i="23" s="1"/>
  <c r="B20" i="23"/>
  <c r="B23" i="5"/>
  <c r="B18" i="29"/>
  <c r="B18" i="28"/>
  <c r="B106" i="9"/>
  <c r="B103" i="22"/>
  <c r="B104" i="3"/>
  <c r="B105" i="6"/>
  <c r="B106" i="11"/>
  <c r="B104" i="5"/>
  <c r="B21" i="23"/>
  <c r="B22" i="25"/>
  <c r="B20" i="24"/>
  <c r="B23" i="3"/>
  <c r="B101" i="24"/>
  <c r="B103" i="25"/>
  <c r="B105" i="8"/>
  <c r="B23" i="4"/>
  <c r="B25" i="11"/>
  <c r="B25" i="9"/>
  <c r="B102" i="23"/>
  <c r="B22" i="22"/>
  <c r="N24" i="11"/>
  <c r="O24" i="11"/>
  <c r="B107" i="10"/>
  <c r="B26" i="10"/>
  <c r="B24" i="8"/>
  <c r="B107" i="7"/>
  <c r="B26" i="7"/>
  <c r="B24" i="6"/>
  <c r="B104" i="4"/>
  <c r="N22" i="3"/>
  <c r="O22" i="3" s="1"/>
  <c r="C54" i="31"/>
  <c r="C55" i="31" s="1"/>
  <c r="C56" i="31" s="1"/>
  <c r="C57" i="31" s="1"/>
  <c r="C58" i="31" s="1"/>
  <c r="C59" i="31" s="1"/>
  <c r="C60" i="31" s="1"/>
  <c r="C61" i="31" s="1"/>
  <c r="C62" i="31" s="1"/>
  <c r="C63" i="31" s="1"/>
  <c r="C64" i="31" s="1"/>
  <c r="C65" i="31" s="1"/>
  <c r="C66" i="31" s="1"/>
  <c r="C67" i="31" s="1"/>
  <c r="C68" i="31" s="1"/>
  <c r="C69" i="31" s="1"/>
  <c r="C70" i="31" s="1"/>
  <c r="C71" i="31" s="1"/>
  <c r="C72" i="31" s="1"/>
  <c r="B18" i="31"/>
  <c r="B19" i="28"/>
  <c r="B25" i="6"/>
  <c r="B23" i="25"/>
  <c r="B22" i="23"/>
  <c r="B23" i="22"/>
  <c r="B102" i="24"/>
  <c r="B105" i="4"/>
  <c r="B104" i="25"/>
  <c r="B106" i="8"/>
  <c r="B105" i="5"/>
  <c r="B104" i="22"/>
  <c r="B26" i="11"/>
  <c r="B21" i="24"/>
  <c r="B25" i="8"/>
  <c r="B24" i="3"/>
  <c r="B27" i="10"/>
  <c r="B24" i="5"/>
  <c r="B107" i="11"/>
  <c r="B107" i="9"/>
  <c r="B108" i="7"/>
  <c r="B19" i="31"/>
  <c r="B100" i="29"/>
  <c r="B19" i="29"/>
  <c r="P101" i="24"/>
  <c r="P102" i="23"/>
  <c r="O25" i="11"/>
  <c r="B108" i="10"/>
  <c r="O25" i="9"/>
  <c r="B26" i="9"/>
  <c r="P105" i="8"/>
  <c r="B27" i="7"/>
  <c r="B106" i="6"/>
  <c r="B24" i="4"/>
  <c r="B105" i="3"/>
  <c r="K18" i="27"/>
  <c r="B103" i="23"/>
  <c r="B100" i="27"/>
  <c r="B19" i="27"/>
  <c r="L18" i="27"/>
  <c r="I18" i="27"/>
  <c r="M18" i="27"/>
  <c r="N18" i="27" s="1"/>
  <c r="O18" i="27" s="1"/>
  <c r="I19" i="27"/>
  <c r="B101" i="27"/>
  <c r="J100" i="27"/>
  <c r="B100" i="28"/>
  <c r="B18" i="30"/>
  <c r="P99" i="31"/>
  <c r="B100" i="31"/>
  <c r="B106" i="4"/>
  <c r="J105" i="4"/>
  <c r="B107" i="6"/>
  <c r="J106" i="6"/>
  <c r="B106" i="5"/>
  <c r="B102" i="27"/>
  <c r="B101" i="28"/>
  <c r="B104" i="23"/>
  <c r="B100" i="30"/>
  <c r="B106" i="3"/>
  <c r="B101" i="31"/>
  <c r="B105" i="25"/>
  <c r="B25" i="5"/>
  <c r="B24" i="22"/>
  <c r="B20" i="31"/>
  <c r="B20" i="27"/>
  <c r="B25" i="4"/>
  <c r="B20" i="29"/>
  <c r="B19" i="30"/>
  <c r="B27" i="9"/>
  <c r="B25" i="3"/>
  <c r="B23" i="23"/>
  <c r="J101" i="27"/>
  <c r="B105" i="22"/>
  <c r="J105" i="5"/>
  <c r="J108" i="10"/>
  <c r="B107" i="8"/>
  <c r="J100" i="28"/>
  <c r="B109" i="7"/>
  <c r="J105" i="3"/>
  <c r="I18" i="30"/>
  <c r="I27" i="7"/>
  <c r="I26" i="9"/>
  <c r="B27" i="11"/>
  <c r="B26" i="8"/>
  <c r="I23" i="22"/>
  <c r="B22" i="24"/>
  <c r="I24" i="5"/>
  <c r="I23" i="25"/>
  <c r="I19" i="28"/>
  <c r="B26" i="6"/>
  <c r="I22" i="23"/>
  <c r="I24" i="3"/>
  <c r="I26" i="11"/>
  <c r="I25" i="8"/>
  <c r="I19" i="29"/>
  <c r="I24" i="4"/>
  <c r="I27" i="10"/>
  <c r="I19" i="31"/>
  <c r="I21" i="24"/>
  <c r="I25" i="6"/>
  <c r="J102" i="24"/>
  <c r="J106" i="8"/>
  <c r="J104" i="22"/>
  <c r="J100" i="29"/>
  <c r="J104" i="25"/>
  <c r="J108" i="7"/>
  <c r="J107" i="9"/>
  <c r="J100" i="31"/>
  <c r="J99" i="30"/>
  <c r="J107" i="11"/>
  <c r="J103" i="23"/>
  <c r="I20" i="27"/>
  <c r="B101" i="29"/>
  <c r="B108" i="9"/>
  <c r="B24" i="25"/>
  <c r="B20" i="28"/>
  <c r="B103" i="24"/>
  <c r="B108" i="11"/>
  <c r="B109" i="10"/>
  <c r="B28" i="10"/>
  <c r="L24" i="8"/>
  <c r="O24" i="8" s="1"/>
  <c r="B28" i="7"/>
  <c r="P99" i="30"/>
  <c r="C99" i="13"/>
  <c r="C100" i="13" s="1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 s="1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28" i="13" s="1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C153" i="13" s="1"/>
  <c r="C154" i="13" s="1"/>
  <c r="D18" i="1"/>
  <c r="C12" i="1"/>
  <c r="D19" i="1"/>
  <c r="B29" i="10"/>
  <c r="I24" i="25"/>
  <c r="B27" i="6"/>
  <c r="B20" i="30"/>
  <c r="B21" i="27"/>
  <c r="I17" i="39"/>
  <c r="B21" i="29"/>
  <c r="I27" i="9"/>
  <c r="B23" i="24"/>
  <c r="I22" i="24"/>
  <c r="B28" i="9"/>
  <c r="I23" i="23"/>
  <c r="B21" i="28"/>
  <c r="I20" i="28"/>
  <c r="I26" i="8"/>
  <c r="B24" i="23"/>
  <c r="I19" i="30"/>
  <c r="I26" i="6"/>
  <c r="I24" i="22"/>
  <c r="I28" i="10"/>
  <c r="I21" i="27"/>
  <c r="I20" i="29"/>
  <c r="B27" i="8"/>
  <c r="B102" i="29"/>
  <c r="B29" i="7"/>
  <c r="B26" i="4"/>
  <c r="I25" i="3"/>
  <c r="I27" i="11"/>
  <c r="B26" i="3"/>
  <c r="I25" i="4"/>
  <c r="I17" i="37"/>
  <c r="I28" i="7"/>
  <c r="B26" i="5"/>
  <c r="I25" i="5"/>
  <c r="J102" i="27"/>
  <c r="B107" i="3"/>
  <c r="B106" i="25"/>
  <c r="J105" i="25"/>
  <c r="J101" i="29"/>
  <c r="B106" i="22"/>
  <c r="B108" i="8"/>
  <c r="J106" i="3"/>
  <c r="J100" i="30"/>
  <c r="B107" i="4"/>
  <c r="J108" i="9"/>
  <c r="B110" i="10"/>
  <c r="B109" i="11"/>
  <c r="B104" i="24"/>
  <c r="B105" i="23"/>
  <c r="B102" i="28"/>
  <c r="J109" i="10"/>
  <c r="J104" i="23"/>
  <c r="J108" i="11"/>
  <c r="J106" i="4"/>
  <c r="J105" i="22"/>
  <c r="J107" i="8"/>
  <c r="J107" i="6"/>
  <c r="J101" i="28"/>
  <c r="J103" i="24"/>
  <c r="C18" i="13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18" i="41"/>
  <c r="C19" i="41" s="1"/>
  <c r="C20" i="41" s="1"/>
  <c r="C21" i="41" s="1"/>
  <c r="C22" i="41" s="1"/>
  <c r="C23" i="41" s="1"/>
  <c r="C24" i="41" s="1"/>
  <c r="C25" i="41" s="1"/>
  <c r="C26" i="41" s="1"/>
  <c r="C27" i="41" s="1"/>
  <c r="C28" i="41" s="1"/>
  <c r="C29" i="41" s="1"/>
  <c r="C30" i="41" s="1"/>
  <c r="C31" i="41" s="1"/>
  <c r="C32" i="41" s="1"/>
  <c r="C33" i="41" s="1"/>
  <c r="C34" i="41" s="1"/>
  <c r="C35" i="41" s="1"/>
  <c r="C36" i="41" s="1"/>
  <c r="C37" i="41" s="1"/>
  <c r="C38" i="41" s="1"/>
  <c r="C39" i="41" s="1"/>
  <c r="C40" i="41" s="1"/>
  <c r="C41" i="41" s="1"/>
  <c r="C42" i="41" s="1"/>
  <c r="C43" i="41" s="1"/>
  <c r="C44" i="41" s="1"/>
  <c r="B18" i="39"/>
  <c r="B18" i="37"/>
  <c r="B103" i="27"/>
  <c r="B25" i="25"/>
  <c r="O24" i="25"/>
  <c r="B25" i="22"/>
  <c r="B28" i="11"/>
  <c r="B109" i="9"/>
  <c r="B107" i="5"/>
  <c r="A2" i="2"/>
  <c r="I10" i="7"/>
  <c r="I10" i="25"/>
  <c r="D93" i="25" s="1"/>
  <c r="C99" i="25" s="1"/>
  <c r="C100" i="25" s="1"/>
  <c r="C101" i="25" s="1"/>
  <c r="C102" i="25" s="1"/>
  <c r="C103" i="25" s="1"/>
  <c r="C104" i="25" s="1"/>
  <c r="C105" i="25" s="1"/>
  <c r="C106" i="25" s="1"/>
  <c r="C107" i="25" s="1"/>
  <c r="C108" i="25" s="1"/>
  <c r="C109" i="25" s="1"/>
  <c r="C110" i="25" s="1"/>
  <c r="C111" i="25" s="1"/>
  <c r="C112" i="25" s="1"/>
  <c r="C113" i="25" s="1"/>
  <c r="C114" i="25" s="1"/>
  <c r="C115" i="25" s="1"/>
  <c r="C116" i="25" s="1"/>
  <c r="C117" i="25" s="1"/>
  <c r="C118" i="25" s="1"/>
  <c r="C119" i="25" s="1"/>
  <c r="C120" i="25" s="1"/>
  <c r="C121" i="25" s="1"/>
  <c r="C122" i="25" s="1"/>
  <c r="C123" i="25" s="1"/>
  <c r="C124" i="25" s="1"/>
  <c r="C125" i="25" s="1"/>
  <c r="C126" i="25" s="1"/>
  <c r="C127" i="25" s="1"/>
  <c r="C128" i="25" s="1"/>
  <c r="C129" i="25" s="1"/>
  <c r="C130" i="25" s="1"/>
  <c r="C131" i="25" s="1"/>
  <c r="C132" i="25" s="1"/>
  <c r="C133" i="25" s="1"/>
  <c r="C134" i="25" s="1"/>
  <c r="C135" i="25" s="1"/>
  <c r="C136" i="25" s="1"/>
  <c r="C137" i="25" s="1"/>
  <c r="C138" i="25" s="1"/>
  <c r="C139" i="25" s="1"/>
  <c r="C140" i="25" s="1"/>
  <c r="C141" i="25" s="1"/>
  <c r="C142" i="25" s="1"/>
  <c r="C143" i="25" s="1"/>
  <c r="C144" i="25" s="1"/>
  <c r="C145" i="25" s="1"/>
  <c r="C146" i="25" s="1"/>
  <c r="C147" i="25" s="1"/>
  <c r="C148" i="25" s="1"/>
  <c r="C149" i="25" s="1"/>
  <c r="C150" i="25" s="1"/>
  <c r="C151" i="25" s="1"/>
  <c r="C152" i="25" s="1"/>
  <c r="C153" i="25" s="1"/>
  <c r="C154" i="25" s="1"/>
  <c r="I10" i="31"/>
  <c r="D94" i="31" s="1"/>
  <c r="C18" i="42"/>
  <c r="C19" i="42" s="1"/>
  <c r="C20" i="42" s="1"/>
  <c r="C21" i="42" s="1"/>
  <c r="C22" i="42" s="1"/>
  <c r="C23" i="42" s="1"/>
  <c r="C24" i="42" s="1"/>
  <c r="C25" i="42" s="1"/>
  <c r="C26" i="42" s="1"/>
  <c r="C27" i="42" s="1"/>
  <c r="C28" i="42" s="1"/>
  <c r="C29" i="42" s="1"/>
  <c r="C30" i="42" s="1"/>
  <c r="C31" i="42" s="1"/>
  <c r="C32" i="42" s="1"/>
  <c r="C33" i="42" s="1"/>
  <c r="C34" i="42" s="1"/>
  <c r="C35" i="42" s="1"/>
  <c r="C36" i="42" s="1"/>
  <c r="C37" i="42" s="1"/>
  <c r="C38" i="42" s="1"/>
  <c r="C39" i="42" s="1"/>
  <c r="C40" i="42" s="1"/>
  <c r="C41" i="42" s="1"/>
  <c r="C42" i="42" s="1"/>
  <c r="C43" i="42" s="1"/>
  <c r="C44" i="42" s="1"/>
  <c r="C100" i="42"/>
  <c r="C101" i="42" s="1"/>
  <c r="C102" i="42" s="1"/>
  <c r="C103" i="42" s="1"/>
  <c r="C104" i="42" s="1"/>
  <c r="C105" i="42" s="1"/>
  <c r="C106" i="42" s="1"/>
  <c r="C107" i="42" s="1"/>
  <c r="C108" i="42" s="1"/>
  <c r="C109" i="42" s="1"/>
  <c r="C110" i="42" s="1"/>
  <c r="C111" i="42" s="1"/>
  <c r="C112" i="42" s="1"/>
  <c r="C113" i="42" s="1"/>
  <c r="C114" i="42" s="1"/>
  <c r="C115" i="42" s="1"/>
  <c r="C116" i="42" s="1"/>
  <c r="C117" i="42" s="1"/>
  <c r="C118" i="42" s="1"/>
  <c r="C119" i="42" s="1"/>
  <c r="C120" i="42" s="1"/>
  <c r="C121" i="42" s="1"/>
  <c r="C122" i="42" s="1"/>
  <c r="C123" i="42" s="1"/>
  <c r="C124" i="42" s="1"/>
  <c r="C125" i="42" s="1"/>
  <c r="C126" i="42" s="1"/>
  <c r="C127" i="42" s="1"/>
  <c r="C128" i="42" s="1"/>
  <c r="C129" i="42" s="1"/>
  <c r="C130" i="42" s="1"/>
  <c r="C131" i="42" s="1"/>
  <c r="C132" i="42" s="1"/>
  <c r="C133" i="42" s="1"/>
  <c r="C134" i="42" s="1"/>
  <c r="C135" i="42" s="1"/>
  <c r="C136" i="42" s="1"/>
  <c r="C137" i="42" s="1"/>
  <c r="C138" i="42" s="1"/>
  <c r="C139" i="42" s="1"/>
  <c r="C140" i="42" s="1"/>
  <c r="C141" i="42" s="1"/>
  <c r="C142" i="42" s="1"/>
  <c r="C143" i="42" s="1"/>
  <c r="C144" i="42" s="1"/>
  <c r="C145" i="42" s="1"/>
  <c r="C146" i="42" s="1"/>
  <c r="C147" i="42" s="1"/>
  <c r="C148" i="42" s="1"/>
  <c r="C149" i="42" s="1"/>
  <c r="C150" i="42" s="1"/>
  <c r="C151" i="42" s="1"/>
  <c r="C152" i="42" s="1"/>
  <c r="C153" i="42" s="1"/>
  <c r="C154" i="42" s="1"/>
  <c r="C100" i="41"/>
  <c r="C101" i="41"/>
  <c r="C102" i="41" s="1"/>
  <c r="C103" i="41" s="1"/>
  <c r="C104" i="41" s="1"/>
  <c r="C105" i="41" s="1"/>
  <c r="C106" i="41" s="1"/>
  <c r="C107" i="41" s="1"/>
  <c r="C108" i="41" s="1"/>
  <c r="C109" i="41" s="1"/>
  <c r="C110" i="41" s="1"/>
  <c r="C111" i="41" s="1"/>
  <c r="C112" i="41" s="1"/>
  <c r="C113" i="41" s="1"/>
  <c r="C114" i="41" s="1"/>
  <c r="C115" i="41" s="1"/>
  <c r="C116" i="41" s="1"/>
  <c r="C117" i="41" s="1"/>
  <c r="C118" i="41" s="1"/>
  <c r="C119" i="41" s="1"/>
  <c r="C120" i="41" s="1"/>
  <c r="C121" i="41" s="1"/>
  <c r="C122" i="41" s="1"/>
  <c r="C123" i="41" s="1"/>
  <c r="C124" i="41" s="1"/>
  <c r="C125" i="41" s="1"/>
  <c r="C126" i="41" s="1"/>
  <c r="C127" i="41" s="1"/>
  <c r="C128" i="41" s="1"/>
  <c r="C129" i="41" s="1"/>
  <c r="C130" i="41" s="1"/>
  <c r="C131" i="41" s="1"/>
  <c r="C132" i="41" s="1"/>
  <c r="C133" i="41" s="1"/>
  <c r="C134" i="41" s="1"/>
  <c r="C135" i="41" s="1"/>
  <c r="C136" i="41" s="1"/>
  <c r="C137" i="41" s="1"/>
  <c r="C138" i="41" s="1"/>
  <c r="C139" i="41" s="1"/>
  <c r="C140" i="41" s="1"/>
  <c r="C141" i="41" s="1"/>
  <c r="C142" i="41" s="1"/>
  <c r="C143" i="41" s="1"/>
  <c r="C144" i="41" s="1"/>
  <c r="C145" i="41" s="1"/>
  <c r="C146" i="41" s="1"/>
  <c r="C147" i="41" s="1"/>
  <c r="C148" i="41" s="1"/>
  <c r="C149" i="41" s="1"/>
  <c r="C150" i="41" s="1"/>
  <c r="C151" i="41" s="1"/>
  <c r="C152" i="41" s="1"/>
  <c r="C153" i="41" s="1"/>
  <c r="C154" i="41" s="1"/>
  <c r="B110" i="7"/>
  <c r="J109" i="7"/>
  <c r="J106" i="5"/>
  <c r="C99" i="40"/>
  <c r="C100" i="40" s="1"/>
  <c r="C101" i="40" s="1"/>
  <c r="C102" i="40" s="1"/>
  <c r="C103" i="40" s="1"/>
  <c r="C104" i="40" s="1"/>
  <c r="C105" i="40" s="1"/>
  <c r="C106" i="40" s="1"/>
  <c r="C107" i="40" s="1"/>
  <c r="C108" i="40" s="1"/>
  <c r="C109" i="40" s="1"/>
  <c r="C110" i="40" s="1"/>
  <c r="C111" i="40" s="1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 s="1"/>
  <c r="C128" i="40" s="1"/>
  <c r="C129" i="40" s="1"/>
  <c r="C130" i="40" s="1"/>
  <c r="C131" i="40" s="1"/>
  <c r="C132" i="40" s="1"/>
  <c r="C133" i="40" s="1"/>
  <c r="C134" i="40" s="1"/>
  <c r="C135" i="40" s="1"/>
  <c r="C136" i="40" s="1"/>
  <c r="C137" i="40" s="1"/>
  <c r="C138" i="40" s="1"/>
  <c r="C139" i="40" s="1"/>
  <c r="C140" i="40" s="1"/>
  <c r="C141" i="40" s="1"/>
  <c r="C142" i="40" s="1"/>
  <c r="C143" i="40" s="1"/>
  <c r="C144" i="40" s="1"/>
  <c r="C145" i="40" s="1"/>
  <c r="C146" i="40" s="1"/>
  <c r="C147" i="40" s="1"/>
  <c r="C148" i="40" s="1"/>
  <c r="C149" i="40" s="1"/>
  <c r="C150" i="40" s="1"/>
  <c r="C151" i="40" s="1"/>
  <c r="C152" i="40" s="1"/>
  <c r="C153" i="40" s="1"/>
  <c r="C154" i="40" s="1"/>
  <c r="I10" i="40"/>
  <c r="I10" i="8"/>
  <c r="I10" i="41"/>
  <c r="I10" i="22"/>
  <c r="D94" i="22" s="1"/>
  <c r="I10" i="6"/>
  <c r="D93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I10" i="37"/>
  <c r="D93" i="37" s="1"/>
  <c r="C99" i="37" s="1"/>
  <c r="C100" i="37" s="1"/>
  <c r="C101" i="37" s="1"/>
  <c r="C102" i="37" s="1"/>
  <c r="C103" i="37" s="1"/>
  <c r="C104" i="37" s="1"/>
  <c r="I10" i="28"/>
  <c r="I10" i="39"/>
  <c r="D93" i="39" s="1"/>
  <c r="C99" i="39" s="1"/>
  <c r="C100" i="39" s="1"/>
  <c r="C101" i="39" s="1"/>
  <c r="C102" i="39" s="1"/>
  <c r="C103" i="39" s="1"/>
  <c r="C104" i="39" s="1"/>
  <c r="C105" i="39" s="1"/>
  <c r="C106" i="39" s="1"/>
  <c r="C107" i="39" s="1"/>
  <c r="C108" i="39" s="1"/>
  <c r="C109" i="39" s="1"/>
  <c r="C110" i="39" s="1"/>
  <c r="C111" i="39" s="1"/>
  <c r="C112" i="39" s="1"/>
  <c r="C113" i="39" s="1"/>
  <c r="C114" i="39" s="1"/>
  <c r="C115" i="39" s="1"/>
  <c r="C116" i="39" s="1"/>
  <c r="C117" i="39" s="1"/>
  <c r="C118" i="39" s="1"/>
  <c r="C119" i="39" s="1"/>
  <c r="C120" i="39" s="1"/>
  <c r="C121" i="39" s="1"/>
  <c r="C122" i="39" s="1"/>
  <c r="C123" i="39" s="1"/>
  <c r="C124" i="39" s="1"/>
  <c r="C125" i="39" s="1"/>
  <c r="C126" i="39" s="1"/>
  <c r="C127" i="39" s="1"/>
  <c r="C128" i="39" s="1"/>
  <c r="C129" i="39" s="1"/>
  <c r="C130" i="39" s="1"/>
  <c r="C131" i="39" s="1"/>
  <c r="C132" i="39" s="1"/>
  <c r="C133" i="39" s="1"/>
  <c r="C134" i="39" s="1"/>
  <c r="C135" i="39" s="1"/>
  <c r="C136" i="39" s="1"/>
  <c r="C137" i="39" s="1"/>
  <c r="C138" i="39" s="1"/>
  <c r="C139" i="39" s="1"/>
  <c r="C140" i="39" s="1"/>
  <c r="C141" i="39" s="1"/>
  <c r="C142" i="39" s="1"/>
  <c r="C143" i="39" s="1"/>
  <c r="C144" i="39" s="1"/>
  <c r="C145" i="39" s="1"/>
  <c r="C146" i="39" s="1"/>
  <c r="C147" i="39" s="1"/>
  <c r="C148" i="39" s="1"/>
  <c r="C149" i="39" s="1"/>
  <c r="C150" i="39" s="1"/>
  <c r="C151" i="39" s="1"/>
  <c r="C152" i="39" s="1"/>
  <c r="C153" i="39" s="1"/>
  <c r="C154" i="39" s="1"/>
  <c r="I10" i="3"/>
  <c r="D94" i="3" s="1"/>
  <c r="I10" i="10"/>
  <c r="D94" i="10" s="1"/>
  <c r="I10" i="23"/>
  <c r="D93" i="23" s="1"/>
  <c r="I10" i="24"/>
  <c r="I10" i="5"/>
  <c r="D93" i="5" s="1"/>
  <c r="I10" i="11"/>
  <c r="D93" i="11" s="1"/>
  <c r="I10" i="42"/>
  <c r="I10" i="4"/>
  <c r="D93" i="4" s="1"/>
  <c r="I10" i="29"/>
  <c r="D94" i="29" s="1"/>
  <c r="I10" i="38"/>
  <c r="I10" i="30"/>
  <c r="D93" i="30" s="1"/>
  <c r="C99" i="30" s="1"/>
  <c r="I10" i="9"/>
  <c r="I10" i="13"/>
  <c r="D92" i="13" s="1"/>
  <c r="E99" i="13" s="1"/>
  <c r="B108" i="6"/>
  <c r="B21" i="31"/>
  <c r="I20" i="31"/>
  <c r="J101" i="31"/>
  <c r="B102" i="31"/>
  <c r="J92" i="41"/>
  <c r="L86" i="41" s="1"/>
  <c r="J94" i="22"/>
  <c r="J95" i="22" s="1"/>
  <c r="J94" i="37"/>
  <c r="J95" i="37" s="1"/>
  <c r="J94" i="41"/>
  <c r="J95" i="41" s="1"/>
  <c r="J94" i="24"/>
  <c r="J95" i="24" s="1"/>
  <c r="J94" i="39"/>
  <c r="J95" i="39" s="1"/>
  <c r="J94" i="42"/>
  <c r="J95" i="42" s="1"/>
  <c r="B109" i="6"/>
  <c r="B110" i="11"/>
  <c r="L20" i="31"/>
  <c r="O20" i="31"/>
  <c r="B18" i="38"/>
  <c r="I17" i="38"/>
  <c r="B108" i="5"/>
  <c r="B107" i="22"/>
  <c r="J103" i="27"/>
  <c r="J107" i="5"/>
  <c r="J108" i="6"/>
  <c r="B28" i="6"/>
  <c r="B27" i="4"/>
  <c r="B25" i="23"/>
  <c r="B22" i="31"/>
  <c r="B26" i="25"/>
  <c r="B18" i="40"/>
  <c r="B29" i="11"/>
  <c r="B27" i="5"/>
  <c r="B22" i="29"/>
  <c r="B30" i="7"/>
  <c r="B19" i="39"/>
  <c r="B18" i="41"/>
  <c r="J106" i="22"/>
  <c r="J102" i="28"/>
  <c r="J108" i="8"/>
  <c r="I20" i="30"/>
  <c r="I21" i="31"/>
  <c r="I27" i="8"/>
  <c r="I28" i="9"/>
  <c r="I27" i="6"/>
  <c r="I29" i="10"/>
  <c r="I26" i="3"/>
  <c r="I26" i="4"/>
  <c r="I18" i="39"/>
  <c r="I29" i="7"/>
  <c r="I17" i="40"/>
  <c r="I17" i="42"/>
  <c r="I18" i="37"/>
  <c r="B29" i="9"/>
  <c r="I23" i="24"/>
  <c r="I18" i="38"/>
  <c r="I28" i="11"/>
  <c r="I25" i="25"/>
  <c r="I21" i="28"/>
  <c r="I26" i="5"/>
  <c r="I17" i="41"/>
  <c r="I21" i="29"/>
  <c r="B21" i="30"/>
  <c r="B19" i="37"/>
  <c r="I24" i="23"/>
  <c r="I25" i="22"/>
  <c r="C18" i="43"/>
  <c r="C19" i="43" s="1"/>
  <c r="C20" i="43" s="1"/>
  <c r="C21" i="43" s="1"/>
  <c r="C22" i="43" s="1"/>
  <c r="C23" i="43" s="1"/>
  <c r="C24" i="43" s="1"/>
  <c r="C25" i="43" s="1"/>
  <c r="C26" i="43" s="1"/>
  <c r="C27" i="43" s="1"/>
  <c r="C28" i="43" s="1"/>
  <c r="C29" i="43" s="1"/>
  <c r="C30" i="43" s="1"/>
  <c r="C31" i="43" s="1"/>
  <c r="C32" i="43" s="1"/>
  <c r="C33" i="43" s="1"/>
  <c r="C34" i="43" s="1"/>
  <c r="C35" i="43" s="1"/>
  <c r="C36" i="43" s="1"/>
  <c r="C37" i="43" s="1"/>
  <c r="C38" i="43" s="1"/>
  <c r="C39" i="43" s="1"/>
  <c r="C40" i="43" s="1"/>
  <c r="C41" i="43" s="1"/>
  <c r="C42" i="43" s="1"/>
  <c r="C43" i="43" s="1"/>
  <c r="C44" i="43" s="1"/>
  <c r="C45" i="43" s="1"/>
  <c r="C46" i="43" s="1"/>
  <c r="C47" i="43" s="1"/>
  <c r="C48" i="43" s="1"/>
  <c r="C49" i="43" s="1"/>
  <c r="C50" i="43" s="1"/>
  <c r="C51" i="43" s="1"/>
  <c r="C52" i="43" s="1"/>
  <c r="C53" i="43" s="1"/>
  <c r="C54" i="43" s="1"/>
  <c r="C55" i="43" s="1"/>
  <c r="C56" i="43" s="1"/>
  <c r="C57" i="43" s="1"/>
  <c r="C58" i="43" s="1"/>
  <c r="C59" i="43" s="1"/>
  <c r="C60" i="43" s="1"/>
  <c r="C61" i="43" s="1"/>
  <c r="C62" i="43" s="1"/>
  <c r="C63" i="43" s="1"/>
  <c r="C64" i="43" s="1"/>
  <c r="C65" i="43" s="1"/>
  <c r="C66" i="43" s="1"/>
  <c r="C67" i="43" s="1"/>
  <c r="C68" i="43" s="1"/>
  <c r="C69" i="43" s="1"/>
  <c r="C70" i="43" s="1"/>
  <c r="C71" i="43" s="1"/>
  <c r="C72" i="43" s="1"/>
  <c r="C100" i="43"/>
  <c r="C101" i="43" s="1"/>
  <c r="C102" i="43" s="1"/>
  <c r="C103" i="43" s="1"/>
  <c r="C104" i="43" s="1"/>
  <c r="C105" i="43" s="1"/>
  <c r="C106" i="43" s="1"/>
  <c r="C107" i="43" s="1"/>
  <c r="C108" i="43" s="1"/>
  <c r="C109" i="43" s="1"/>
  <c r="C110" i="43" s="1"/>
  <c r="C111" i="43" s="1"/>
  <c r="C112" i="43" s="1"/>
  <c r="C113" i="43" s="1"/>
  <c r="C114" i="43" s="1"/>
  <c r="C115" i="43" s="1"/>
  <c r="C116" i="43" s="1"/>
  <c r="C117" i="43" s="1"/>
  <c r="C118" i="43" s="1"/>
  <c r="C119" i="43" s="1"/>
  <c r="C120" i="43" s="1"/>
  <c r="C121" i="43" s="1"/>
  <c r="C122" i="43" s="1"/>
  <c r="C123" i="43" s="1"/>
  <c r="C124" i="43" s="1"/>
  <c r="C125" i="43" s="1"/>
  <c r="C126" i="43" s="1"/>
  <c r="C127" i="43" s="1"/>
  <c r="C128" i="43" s="1"/>
  <c r="C129" i="43" s="1"/>
  <c r="C130" i="43" s="1"/>
  <c r="C131" i="43" s="1"/>
  <c r="C132" i="43" s="1"/>
  <c r="C133" i="43" s="1"/>
  <c r="C134" i="43" s="1"/>
  <c r="C135" i="43" s="1"/>
  <c r="C136" i="43" s="1"/>
  <c r="C137" i="43" s="1"/>
  <c r="C138" i="43" s="1"/>
  <c r="C139" i="43" s="1"/>
  <c r="C140" i="43" s="1"/>
  <c r="C141" i="43" s="1"/>
  <c r="C142" i="43" s="1"/>
  <c r="C143" i="43" s="1"/>
  <c r="C144" i="43" s="1"/>
  <c r="C145" i="43" s="1"/>
  <c r="C146" i="43" s="1"/>
  <c r="C147" i="43" s="1"/>
  <c r="C148" i="43" s="1"/>
  <c r="C149" i="43" s="1"/>
  <c r="C150" i="43" s="1"/>
  <c r="C151" i="43" s="1"/>
  <c r="C152" i="43" s="1"/>
  <c r="C153" i="43" s="1"/>
  <c r="C154" i="43" s="1"/>
  <c r="P99" i="39"/>
  <c r="B19" i="38"/>
  <c r="O17" i="37"/>
  <c r="O20" i="37"/>
  <c r="B103" i="28"/>
  <c r="B22" i="28"/>
  <c r="B109" i="8"/>
  <c r="B27" i="3"/>
  <c r="B101" i="30"/>
  <c r="O23" i="7"/>
  <c r="B104" i="27"/>
  <c r="C45" i="3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P103" i="11"/>
  <c r="P99" i="4"/>
  <c r="P100" i="6"/>
  <c r="P104" i="7"/>
  <c r="P99" i="7"/>
  <c r="O20" i="7"/>
  <c r="P99" i="10"/>
  <c r="O17" i="4"/>
  <c r="P100" i="5"/>
  <c r="O19" i="7"/>
  <c r="P100" i="11"/>
  <c r="O22" i="4"/>
  <c r="O23" i="6"/>
  <c r="O19" i="11"/>
  <c r="P100" i="25"/>
  <c r="O24" i="9"/>
  <c r="O25" i="10"/>
  <c r="O24" i="4"/>
  <c r="O27" i="9"/>
  <c r="P107" i="8"/>
  <c r="O23" i="23"/>
  <c r="O20" i="28"/>
  <c r="P101" i="29"/>
  <c r="P103" i="24"/>
  <c r="P103" i="23"/>
  <c r="O19" i="29"/>
  <c r="B111" i="10"/>
  <c r="B100" i="38"/>
  <c r="J109" i="11"/>
  <c r="B103" i="29"/>
  <c r="J102" i="29"/>
  <c r="B22" i="27"/>
  <c r="B102" i="30"/>
  <c r="J110" i="10"/>
  <c r="B100" i="39"/>
  <c r="B103" i="31"/>
  <c r="J99" i="37"/>
  <c r="B105" i="24"/>
  <c r="J99" i="38"/>
  <c r="B111" i="7"/>
  <c r="B107" i="25"/>
  <c r="B108" i="3"/>
  <c r="B108" i="4"/>
  <c r="B106" i="23"/>
  <c r="I22" i="27"/>
  <c r="B110" i="9"/>
  <c r="J99" i="39"/>
  <c r="J109" i="9"/>
  <c r="J105" i="23"/>
  <c r="J106" i="25"/>
  <c r="J110" i="7"/>
  <c r="J104" i="24"/>
  <c r="J107" i="4"/>
  <c r="J107" i="3"/>
  <c r="J102" i="31"/>
  <c r="J101" i="30"/>
  <c r="O19" i="39"/>
  <c r="I10" i="44"/>
  <c r="I10" i="46"/>
  <c r="I10" i="43"/>
  <c r="D59" i="17"/>
  <c r="C59" i="17"/>
  <c r="N59" i="17"/>
  <c r="F59" i="17"/>
  <c r="E59" i="17"/>
  <c r="O59" i="17"/>
  <c r="J92" i="55" l="1"/>
  <c r="J92" i="54"/>
  <c r="P99" i="38"/>
  <c r="P99" i="37"/>
  <c r="P99" i="28"/>
  <c r="P102" i="28"/>
  <c r="P102" i="24"/>
  <c r="P105" i="22"/>
  <c r="P108" i="11"/>
  <c r="P105" i="11"/>
  <c r="P103" i="10"/>
  <c r="P104" i="10"/>
  <c r="P105" i="9"/>
  <c r="P99" i="8"/>
  <c r="J99" i="55"/>
  <c r="I12" i="37"/>
  <c r="I13" i="37" s="1"/>
  <c r="I12" i="55"/>
  <c r="I12" i="54"/>
  <c r="G99" i="54"/>
  <c r="D100" i="54"/>
  <c r="B101" i="55"/>
  <c r="E101" i="55"/>
  <c r="F101" i="55" s="1"/>
  <c r="I100" i="55"/>
  <c r="H100" i="55"/>
  <c r="J94" i="29"/>
  <c r="J95" i="29" s="1"/>
  <c r="J94" i="23"/>
  <c r="J95" i="23" s="1"/>
  <c r="J94" i="31"/>
  <c r="J95" i="31" s="1"/>
  <c r="J94" i="40"/>
  <c r="J95" i="40" s="1"/>
  <c r="J94" i="10"/>
  <c r="J95" i="10" s="1"/>
  <c r="P102" i="6"/>
  <c r="P101" i="3"/>
  <c r="P101" i="4"/>
  <c r="O23" i="9"/>
  <c r="P100" i="24"/>
  <c r="O23" i="5"/>
  <c r="O26" i="7"/>
  <c r="P99" i="22"/>
  <c r="O20" i="25"/>
  <c r="O25" i="7"/>
  <c r="O20" i="23"/>
  <c r="O17" i="31"/>
  <c r="P104" i="4"/>
  <c r="P105" i="6"/>
  <c r="O26" i="10"/>
  <c r="P103" i="22"/>
  <c r="O23" i="25"/>
  <c r="P101" i="27"/>
  <c r="P109" i="7"/>
  <c r="O24" i="22"/>
  <c r="P104" i="23"/>
  <c r="P99" i="3"/>
  <c r="O17" i="10"/>
  <c r="O20" i="11"/>
  <c r="O21" i="10"/>
  <c r="P102" i="4"/>
  <c r="O17" i="27"/>
  <c r="P102" i="22"/>
  <c r="P102" i="25"/>
  <c r="O23" i="4"/>
  <c r="O24" i="6"/>
  <c r="O24" i="5"/>
  <c r="P108" i="7"/>
  <c r="O26" i="9"/>
  <c r="P107" i="11"/>
  <c r="P101" i="7"/>
  <c r="P102" i="8"/>
  <c r="P101" i="9"/>
  <c r="O17" i="9"/>
  <c r="P101" i="10"/>
  <c r="R12" i="17"/>
  <c r="O18" i="4"/>
  <c r="P102" i="10"/>
  <c r="P101" i="11"/>
  <c r="O22" i="7"/>
  <c r="P104" i="9"/>
  <c r="P105" i="10"/>
  <c r="O20" i="22"/>
  <c r="P101" i="25"/>
  <c r="P104" i="5"/>
  <c r="P107" i="7"/>
  <c r="P106" i="25"/>
  <c r="P102" i="29"/>
  <c r="P102" i="31"/>
  <c r="C100" i="24"/>
  <c r="C101" i="24" s="1"/>
  <c r="C102" i="24" s="1"/>
  <c r="C103" i="24" s="1"/>
  <c r="C104" i="24" s="1"/>
  <c r="C105" i="24" s="1"/>
  <c r="C106" i="24" s="1"/>
  <c r="C107" i="24" s="1"/>
  <c r="C108" i="24" s="1"/>
  <c r="C109" i="24" s="1"/>
  <c r="C110" i="24" s="1"/>
  <c r="C111" i="24" s="1"/>
  <c r="C112" i="24" s="1"/>
  <c r="C113" i="24" s="1"/>
  <c r="C114" i="24" s="1"/>
  <c r="C115" i="24" s="1"/>
  <c r="C116" i="24" s="1"/>
  <c r="C117" i="24" s="1"/>
  <c r="C118" i="24" s="1"/>
  <c r="C119" i="24" s="1"/>
  <c r="C120" i="24" s="1"/>
  <c r="C121" i="24" s="1"/>
  <c r="C122" i="24" s="1"/>
  <c r="C123" i="24" s="1"/>
  <c r="C124" i="24" s="1"/>
  <c r="C125" i="24" s="1"/>
  <c r="C126" i="24" s="1"/>
  <c r="C127" i="24" s="1"/>
  <c r="C128" i="24" s="1"/>
  <c r="C129" i="24" s="1"/>
  <c r="C130" i="24" s="1"/>
  <c r="C131" i="24" s="1"/>
  <c r="C132" i="24" s="1"/>
  <c r="C133" i="24" s="1"/>
  <c r="C134" i="24" s="1"/>
  <c r="C135" i="24" s="1"/>
  <c r="C136" i="24" s="1"/>
  <c r="C137" i="24" s="1"/>
  <c r="C138" i="24" s="1"/>
  <c r="C139" i="24" s="1"/>
  <c r="C140" i="24" s="1"/>
  <c r="C141" i="24" s="1"/>
  <c r="C142" i="24" s="1"/>
  <c r="C143" i="24" s="1"/>
  <c r="C144" i="24" s="1"/>
  <c r="C145" i="24" s="1"/>
  <c r="C146" i="24" s="1"/>
  <c r="C147" i="24" s="1"/>
  <c r="C148" i="24" s="1"/>
  <c r="C149" i="24" s="1"/>
  <c r="C150" i="24" s="1"/>
  <c r="C151" i="24" s="1"/>
  <c r="C152" i="24" s="1"/>
  <c r="C153" i="24" s="1"/>
  <c r="C154" i="24" s="1"/>
  <c r="P99" i="24"/>
  <c r="P100" i="7"/>
  <c r="P99" i="6"/>
  <c r="O22" i="10"/>
  <c r="P106" i="10"/>
  <c r="O20" i="24"/>
  <c r="P107" i="3"/>
  <c r="P108" i="8"/>
  <c r="P106" i="22"/>
  <c r="O18" i="39"/>
  <c r="O17" i="3"/>
  <c r="O18" i="5"/>
  <c r="O19" i="6"/>
  <c r="O17" i="6"/>
  <c r="O20" i="10"/>
  <c r="O22" i="8"/>
  <c r="O22" i="5"/>
  <c r="P106" i="9"/>
  <c r="O18" i="38"/>
  <c r="F99" i="13"/>
  <c r="G99" i="13" s="1"/>
  <c r="O17" i="11"/>
  <c r="O17" i="25"/>
  <c r="P110" i="10"/>
  <c r="P104" i="24"/>
  <c r="O20" i="9"/>
  <c r="O18" i="3"/>
  <c r="O17" i="23"/>
  <c r="O21" i="3"/>
  <c r="O21" i="5"/>
  <c r="P104" i="8"/>
  <c r="O17" i="29"/>
  <c r="O23" i="3"/>
  <c r="O17" i="38"/>
  <c r="O26" i="11"/>
  <c r="O25" i="3"/>
  <c r="O25" i="4"/>
  <c r="P106" i="5"/>
  <c r="P101" i="31"/>
  <c r="O27" i="8"/>
  <c r="O25" i="22"/>
  <c r="O17" i="40"/>
  <c r="P100" i="4"/>
  <c r="P101" i="6"/>
  <c r="O20" i="6"/>
  <c r="O17" i="7"/>
  <c r="O18" i="8"/>
  <c r="O17" i="8"/>
  <c r="O18" i="10"/>
  <c r="T12" i="17"/>
  <c r="O21" i="9"/>
  <c r="O17" i="24"/>
  <c r="P103" i="4"/>
  <c r="P101" i="23"/>
  <c r="O19" i="27"/>
  <c r="P105" i="5"/>
  <c r="P106" i="6"/>
  <c r="P104" i="25"/>
  <c r="O19" i="31"/>
  <c r="O25" i="5"/>
  <c r="P108" i="9"/>
  <c r="O21" i="27"/>
  <c r="O19" i="30"/>
  <c r="P107" i="5"/>
  <c r="O24" i="3"/>
  <c r="O27" i="10"/>
  <c r="O23" i="22"/>
  <c r="O22" i="24"/>
  <c r="C61" i="2"/>
  <c r="D93" i="3"/>
  <c r="C99" i="3" s="1"/>
  <c r="C76" i="2"/>
  <c r="F14" i="2"/>
  <c r="E19" i="2" s="1"/>
  <c r="F19" i="2" s="1"/>
  <c r="F17" i="2"/>
  <c r="D94" i="23"/>
  <c r="I12" i="24"/>
  <c r="I13" i="24" s="1"/>
  <c r="F18" i="2"/>
  <c r="J94" i="49"/>
  <c r="J94" i="48"/>
  <c r="J94" i="47"/>
  <c r="J95" i="47" s="1"/>
  <c r="I12" i="42"/>
  <c r="I13" i="42" s="1"/>
  <c r="I12" i="49"/>
  <c r="I12" i="48"/>
  <c r="I13" i="48" s="1"/>
  <c r="I12" i="47"/>
  <c r="I13" i="47" s="1"/>
  <c r="G100" i="49"/>
  <c r="D101" i="49"/>
  <c r="B101" i="49" s="1"/>
  <c r="E101" i="48"/>
  <c r="F101" i="48" s="1"/>
  <c r="B101" i="48"/>
  <c r="O23" i="24"/>
  <c r="O18" i="37"/>
  <c r="O22" i="27"/>
  <c r="O26" i="5"/>
  <c r="J92" i="45"/>
  <c r="J92" i="49"/>
  <c r="J92" i="47"/>
  <c r="J92" i="48"/>
  <c r="O58" i="8"/>
  <c r="O52" i="23"/>
  <c r="F88" i="1"/>
  <c r="F89" i="1" s="1"/>
  <c r="F91" i="1" s="1"/>
  <c r="F92" i="1" s="1"/>
  <c r="F93" i="1" s="1"/>
  <c r="O59" i="27"/>
  <c r="O55" i="31"/>
  <c r="O34" i="37"/>
  <c r="O52" i="37"/>
  <c r="O56" i="37"/>
  <c r="I12" i="22"/>
  <c r="I13" i="22" s="1"/>
  <c r="I12" i="23"/>
  <c r="I13" i="23" s="1"/>
  <c r="I12" i="30"/>
  <c r="I13" i="30" s="1"/>
  <c r="I12" i="11"/>
  <c r="I13" i="11" s="1"/>
  <c r="O29" i="5"/>
  <c r="O26" i="37"/>
  <c r="O45" i="40"/>
  <c r="O67" i="45"/>
  <c r="I12" i="31"/>
  <c r="I13" i="31" s="1"/>
  <c r="I12" i="8"/>
  <c r="I13" i="8" s="1"/>
  <c r="I12" i="29"/>
  <c r="I13" i="29" s="1"/>
  <c r="I12" i="27"/>
  <c r="I13" i="27" s="1"/>
  <c r="I12" i="5"/>
  <c r="I13" i="5" s="1"/>
  <c r="I12" i="10"/>
  <c r="I13" i="10" s="1"/>
  <c r="F18" i="1"/>
  <c r="I12" i="39"/>
  <c r="I13" i="39" s="1"/>
  <c r="I12" i="7"/>
  <c r="I13" i="7" s="1"/>
  <c r="I12" i="41"/>
  <c r="I13" i="41" s="1"/>
  <c r="I12" i="9"/>
  <c r="I13" i="9" s="1"/>
  <c r="I12" i="6"/>
  <c r="I13" i="6" s="1"/>
  <c r="I12" i="4"/>
  <c r="I13" i="4" s="1"/>
  <c r="C77" i="1"/>
  <c r="I12" i="40"/>
  <c r="I13" i="40" s="1"/>
  <c r="I12" i="38"/>
  <c r="I13" i="38" s="1"/>
  <c r="I12" i="13"/>
  <c r="I13" i="13" s="1"/>
  <c r="I12" i="28"/>
  <c r="I13" i="28" s="1"/>
  <c r="I12" i="3"/>
  <c r="I13" i="3" s="1"/>
  <c r="I12" i="25"/>
  <c r="I13" i="25" s="1"/>
  <c r="C59" i="1"/>
  <c r="O46" i="23"/>
  <c r="O31" i="9"/>
  <c r="O25" i="27"/>
  <c r="O29" i="27"/>
  <c r="O37" i="27"/>
  <c r="O39" i="27"/>
  <c r="O45" i="27"/>
  <c r="O47" i="27"/>
  <c r="O51" i="27"/>
  <c r="O53" i="27"/>
  <c r="O55" i="27"/>
  <c r="O57" i="27"/>
  <c r="O61" i="27"/>
  <c r="O65" i="27"/>
  <c r="O67" i="27"/>
  <c r="O39" i="28"/>
  <c r="O43" i="22"/>
  <c r="O37" i="22"/>
  <c r="O31" i="22"/>
  <c r="O64" i="29"/>
  <c r="O48" i="5"/>
  <c r="O40" i="5"/>
  <c r="O38" i="5"/>
  <c r="O39" i="6"/>
  <c r="O54" i="13"/>
  <c r="O50" i="13"/>
  <c r="O46" i="13"/>
  <c r="O38" i="38"/>
  <c r="O25" i="44"/>
  <c r="O51" i="45"/>
  <c r="O55" i="45"/>
  <c r="O71" i="45"/>
  <c r="O57" i="44"/>
  <c r="O31" i="39"/>
  <c r="O35" i="39"/>
  <c r="O45" i="39"/>
  <c r="O67" i="39"/>
  <c r="O22" i="37"/>
  <c r="O24" i="37"/>
  <c r="O28" i="37"/>
  <c r="O30" i="37"/>
  <c r="O32" i="37"/>
  <c r="O36" i="37"/>
  <c r="O38" i="37"/>
  <c r="O50" i="37"/>
  <c r="O54" i="37"/>
  <c r="O58" i="37"/>
  <c r="O60" i="37"/>
  <c r="O62" i="37"/>
  <c r="O66" i="37"/>
  <c r="O68" i="37"/>
  <c r="O70" i="37"/>
  <c r="O25" i="31"/>
  <c r="O35" i="31"/>
  <c r="O37" i="31"/>
  <c r="O41" i="31"/>
  <c r="O51" i="31"/>
  <c r="O59" i="31"/>
  <c r="O67" i="31"/>
  <c r="O69" i="31"/>
  <c r="O71" i="31"/>
  <c r="O52" i="30"/>
  <c r="O70" i="23"/>
  <c r="O64" i="23"/>
  <c r="O60" i="23"/>
  <c r="O58" i="23"/>
  <c r="O54" i="23"/>
  <c r="O50" i="23"/>
  <c r="O42" i="23"/>
  <c r="O62" i="8"/>
  <c r="O58" i="9"/>
  <c r="O33" i="23"/>
  <c r="O38" i="9"/>
  <c r="O53" i="28"/>
  <c r="O57" i="28"/>
  <c r="O71" i="28"/>
  <c r="O52" i="29"/>
  <c r="O72" i="31"/>
  <c r="O49" i="42"/>
  <c r="O51" i="42"/>
  <c r="O33" i="27"/>
  <c r="O69" i="44"/>
  <c r="F17" i="1"/>
  <c r="O55" i="7"/>
  <c r="O49" i="7"/>
  <c r="O71" i="13"/>
  <c r="O69" i="13"/>
  <c r="O65" i="13"/>
  <c r="O63" i="13"/>
  <c r="O61" i="13"/>
  <c r="O59" i="13"/>
  <c r="O57" i="13"/>
  <c r="O45" i="13"/>
  <c r="O41" i="13"/>
  <c r="O35" i="13"/>
  <c r="O25" i="13"/>
  <c r="O23" i="13"/>
  <c r="O21" i="13"/>
  <c r="O19" i="13"/>
  <c r="O71" i="22"/>
  <c r="O67" i="22"/>
  <c r="O59" i="22"/>
  <c r="O47" i="22"/>
  <c r="O41" i="22"/>
  <c r="O39" i="22"/>
  <c r="O29" i="22"/>
  <c r="O72" i="25"/>
  <c r="O68" i="25"/>
  <c r="O64" i="25"/>
  <c r="O62" i="25"/>
  <c r="O60" i="25"/>
  <c r="O56" i="25"/>
  <c r="O54" i="25"/>
  <c r="O50" i="25"/>
  <c r="O48" i="25"/>
  <c r="O44" i="25"/>
  <c r="O36" i="25"/>
  <c r="O34" i="25"/>
  <c r="O28" i="25"/>
  <c r="O23" i="30"/>
  <c r="O47" i="30"/>
  <c r="O54" i="40"/>
  <c r="O60" i="40"/>
  <c r="O52" i="44"/>
  <c r="D94" i="5"/>
  <c r="D94" i="13"/>
  <c r="O33" i="44"/>
  <c r="O41" i="44"/>
  <c r="O65" i="44"/>
  <c r="D94" i="6"/>
  <c r="O69" i="11"/>
  <c r="O37" i="11"/>
  <c r="O71" i="24"/>
  <c r="O61" i="24"/>
  <c r="O37" i="24"/>
  <c r="O67" i="29"/>
  <c r="O23" i="31"/>
  <c r="O27" i="31"/>
  <c r="O47" i="31"/>
  <c r="O59" i="45"/>
  <c r="O49" i="44"/>
  <c r="O33" i="41"/>
  <c r="O57" i="41"/>
  <c r="O24" i="40"/>
  <c r="O26" i="40"/>
  <c r="O28" i="40"/>
  <c r="O30" i="40"/>
  <c r="O32" i="40"/>
  <c r="O34" i="40"/>
  <c r="O36" i="40"/>
  <c r="O38" i="40"/>
  <c r="O40" i="40"/>
  <c r="O42" i="40"/>
  <c r="O44" i="40"/>
  <c r="O46" i="40"/>
  <c r="O50" i="40"/>
  <c r="O52" i="40"/>
  <c r="O56" i="40"/>
  <c r="O58" i="40"/>
  <c r="O62" i="40"/>
  <c r="O64" i="40"/>
  <c r="O66" i="40"/>
  <c r="O70" i="40"/>
  <c r="O72" i="40"/>
  <c r="O25" i="39"/>
  <c r="O41" i="39"/>
  <c r="O51" i="39"/>
  <c r="O55" i="39"/>
  <c r="O31" i="38"/>
  <c r="O65" i="38"/>
  <c r="O34" i="29"/>
  <c r="O36" i="29"/>
  <c r="O40" i="29"/>
  <c r="O50" i="29"/>
  <c r="O56" i="29"/>
  <c r="O43" i="27"/>
  <c r="O53" i="9"/>
  <c r="O69" i="7"/>
  <c r="O65" i="7"/>
  <c r="O57" i="7"/>
  <c r="O51" i="7"/>
  <c r="O45" i="7"/>
  <c r="O39" i="7"/>
  <c r="O31" i="7"/>
  <c r="O67" i="6"/>
  <c r="O47" i="6"/>
  <c r="O71" i="4"/>
  <c r="O55" i="4"/>
  <c r="O62" i="3"/>
  <c r="O34" i="3"/>
  <c r="J92" i="25"/>
  <c r="M87" i="25" s="1"/>
  <c r="J92" i="10"/>
  <c r="N87" i="10" s="1"/>
  <c r="J92" i="42"/>
  <c r="L86" i="42" s="1"/>
  <c r="J92" i="30"/>
  <c r="L86" i="30" s="1"/>
  <c r="J92" i="40"/>
  <c r="L86" i="40" s="1"/>
  <c r="M19" i="2"/>
  <c r="J92" i="8"/>
  <c r="L86" i="8" s="1"/>
  <c r="J92" i="24"/>
  <c r="L86" i="24" s="1"/>
  <c r="J92" i="7"/>
  <c r="L86" i="7" s="1"/>
  <c r="J92" i="4"/>
  <c r="L86" i="4" s="1"/>
  <c r="J92" i="3"/>
  <c r="M87" i="3" s="1"/>
  <c r="J92" i="31"/>
  <c r="L86" i="31" s="1"/>
  <c r="J92" i="5"/>
  <c r="L86" i="5" s="1"/>
  <c r="J92" i="11"/>
  <c r="M87" i="11" s="1"/>
  <c r="J92" i="29"/>
  <c r="L86" i="29" s="1"/>
  <c r="J92" i="27"/>
  <c r="L86" i="27" s="1"/>
  <c r="J92" i="44"/>
  <c r="N87" i="44" s="1"/>
  <c r="J92" i="37"/>
  <c r="L86" i="37" s="1"/>
  <c r="J92" i="28"/>
  <c r="M87" i="28" s="1"/>
  <c r="J92" i="13"/>
  <c r="L86" i="13" s="1"/>
  <c r="J92" i="43"/>
  <c r="N87" i="43" s="1"/>
  <c r="J92" i="9"/>
  <c r="N87" i="9" s="1"/>
  <c r="J92" i="23"/>
  <c r="L86" i="23" s="1"/>
  <c r="A4" i="2"/>
  <c r="J92" i="6"/>
  <c r="L86" i="6" s="1"/>
  <c r="J92" i="38"/>
  <c r="L86" i="38" s="1"/>
  <c r="J92" i="22"/>
  <c r="M87" i="22" s="1"/>
  <c r="J92" i="39"/>
  <c r="N87" i="39" s="1"/>
  <c r="O22" i="46"/>
  <c r="O26" i="46"/>
  <c r="O28" i="46"/>
  <c r="O30" i="46"/>
  <c r="O32" i="46"/>
  <c r="O46" i="46"/>
  <c r="O58" i="46"/>
  <c r="O62" i="46"/>
  <c r="O34" i="46"/>
  <c r="O35" i="46"/>
  <c r="O43" i="46"/>
  <c r="O51" i="46"/>
  <c r="O69" i="46"/>
  <c r="C45" i="46"/>
  <c r="C46" i="46" s="1"/>
  <c r="C47" i="46" s="1"/>
  <c r="C48" i="46" s="1"/>
  <c r="C49" i="46" s="1"/>
  <c r="C50" i="46" s="1"/>
  <c r="C51" i="46" s="1"/>
  <c r="C52" i="46" s="1"/>
  <c r="C53" i="46" s="1"/>
  <c r="C54" i="46" s="1"/>
  <c r="C55" i="46" s="1"/>
  <c r="C56" i="46" s="1"/>
  <c r="C57" i="46" s="1"/>
  <c r="C58" i="46" s="1"/>
  <c r="C59" i="46" s="1"/>
  <c r="C60" i="46" s="1"/>
  <c r="C61" i="46" s="1"/>
  <c r="C62" i="46" s="1"/>
  <c r="C63" i="46" s="1"/>
  <c r="C64" i="46" s="1"/>
  <c r="C65" i="46" s="1"/>
  <c r="C66" i="46" s="1"/>
  <c r="C67" i="46" s="1"/>
  <c r="C68" i="46" s="1"/>
  <c r="C69" i="46" s="1"/>
  <c r="C70" i="46" s="1"/>
  <c r="C71" i="46" s="1"/>
  <c r="C72" i="46" s="1"/>
  <c r="P52" i="17"/>
  <c r="O17" i="46"/>
  <c r="O33" i="46"/>
  <c r="O39" i="46"/>
  <c r="O41" i="46"/>
  <c r="O49" i="46"/>
  <c r="O57" i="46"/>
  <c r="O65" i="46"/>
  <c r="O71" i="46"/>
  <c r="O55" i="41"/>
  <c r="O20" i="39"/>
  <c r="O24" i="39"/>
  <c r="O26" i="39"/>
  <c r="O32" i="39"/>
  <c r="O34" i="39"/>
  <c r="O38" i="39"/>
  <c r="O40" i="39"/>
  <c r="O44" i="39"/>
  <c r="O56" i="39"/>
  <c r="O58" i="39"/>
  <c r="O60" i="39"/>
  <c r="O64" i="39"/>
  <c r="O72" i="39"/>
  <c r="O28" i="43"/>
  <c r="O44" i="43"/>
  <c r="O17" i="41"/>
  <c r="O48" i="39"/>
  <c r="O21" i="28"/>
  <c r="O23" i="28"/>
  <c r="O25" i="28"/>
  <c r="O27" i="28"/>
  <c r="O29" i="28"/>
  <c r="O31" i="28"/>
  <c r="O35" i="28"/>
  <c r="O45" i="28"/>
  <c r="O47" i="28"/>
  <c r="O59" i="28"/>
  <c r="O61" i="28"/>
  <c r="O65" i="28"/>
  <c r="O67" i="28"/>
  <c r="O71" i="25"/>
  <c r="O65" i="25"/>
  <c r="O63" i="25"/>
  <c r="O57" i="25"/>
  <c r="O55" i="25"/>
  <c r="O53" i="25"/>
  <c r="O51" i="25"/>
  <c r="O71" i="23"/>
  <c r="O69" i="23"/>
  <c r="O65" i="23"/>
  <c r="O63" i="23"/>
  <c r="O61" i="23"/>
  <c r="O59" i="23"/>
  <c r="O57" i="23"/>
  <c r="O55" i="23"/>
  <c r="O47" i="23"/>
  <c r="O43" i="23"/>
  <c r="O37" i="23"/>
  <c r="O28" i="11"/>
  <c r="O35" i="10"/>
  <c r="O29" i="10"/>
  <c r="O28" i="9"/>
  <c r="O44" i="4"/>
  <c r="O26" i="3"/>
  <c r="P154" i="6"/>
  <c r="P150" i="6"/>
  <c r="P146" i="6"/>
  <c r="P144" i="6"/>
  <c r="P138" i="6"/>
  <c r="P136" i="6"/>
  <c r="P134" i="6"/>
  <c r="P132" i="6"/>
  <c r="P122" i="6"/>
  <c r="P116" i="6"/>
  <c r="P114" i="6"/>
  <c r="O31" i="45"/>
  <c r="O33" i="45"/>
  <c r="O41" i="45"/>
  <c r="B18" i="44"/>
  <c r="O17" i="42"/>
  <c r="O21" i="42"/>
  <c r="O45" i="42"/>
  <c r="O60" i="43"/>
  <c r="O18" i="43"/>
  <c r="O26" i="43"/>
  <c r="O32" i="43"/>
  <c r="O36" i="43"/>
  <c r="O38" i="43"/>
  <c r="O48" i="43"/>
  <c r="O52" i="43"/>
  <c r="O54" i="43"/>
  <c r="O64" i="43"/>
  <c r="O68" i="43"/>
  <c r="O20" i="43"/>
  <c r="O40" i="43"/>
  <c r="O56" i="43"/>
  <c r="O70" i="43"/>
  <c r="O72" i="43"/>
  <c r="O37" i="42"/>
  <c r="O43" i="42"/>
  <c r="O53" i="42"/>
  <c r="O55" i="42"/>
  <c r="O59" i="42"/>
  <c r="O61" i="42"/>
  <c r="O21" i="41"/>
  <c r="O25" i="41"/>
  <c r="O27" i="41"/>
  <c r="O29" i="41"/>
  <c r="O31" i="41"/>
  <c r="O35" i="41"/>
  <c r="O45" i="41"/>
  <c r="O47" i="41"/>
  <c r="O59" i="41"/>
  <c r="O61" i="41"/>
  <c r="O63" i="41"/>
  <c r="O65" i="41"/>
  <c r="O67" i="41"/>
  <c r="O71" i="41"/>
  <c r="O19" i="38"/>
  <c r="O21" i="38"/>
  <c r="O29" i="38"/>
  <c r="O35" i="38"/>
  <c r="O39" i="38"/>
  <c r="O59" i="38"/>
  <c r="O61" i="38"/>
  <c r="O63" i="38"/>
  <c r="O67" i="38"/>
  <c r="O69" i="38"/>
  <c r="O71" i="38"/>
  <c r="O31" i="31"/>
  <c r="O33" i="31"/>
  <c r="O39" i="31"/>
  <c r="O43" i="31"/>
  <c r="O45" i="31"/>
  <c r="O49" i="28"/>
  <c r="O69" i="28"/>
  <c r="O72" i="28"/>
  <c r="O49" i="27"/>
  <c r="O67" i="24"/>
  <c r="O65" i="24"/>
  <c r="O63" i="24"/>
  <c r="O55" i="24"/>
  <c r="O53" i="24"/>
  <c r="O47" i="24"/>
  <c r="O35" i="24"/>
  <c r="O33" i="24"/>
  <c r="O27" i="24"/>
  <c r="O25" i="24"/>
  <c r="O41" i="23"/>
  <c r="O39" i="23"/>
  <c r="O35" i="23"/>
  <c r="O31" i="23"/>
  <c r="O27" i="23"/>
  <c r="O67" i="11"/>
  <c r="O63" i="9"/>
  <c r="O61" i="9"/>
  <c r="O57" i="9"/>
  <c r="O51" i="9"/>
  <c r="O47" i="9"/>
  <c r="O72" i="8"/>
  <c r="O70" i="8"/>
  <c r="O68" i="8"/>
  <c r="O66" i="8"/>
  <c r="O60" i="8"/>
  <c r="O56" i="8"/>
  <c r="O54" i="8"/>
  <c r="O52" i="8"/>
  <c r="O50" i="8"/>
  <c r="O39" i="8"/>
  <c r="O57" i="6"/>
  <c r="O55" i="6"/>
  <c r="O51" i="6"/>
  <c r="O49" i="6"/>
  <c r="O45" i="6"/>
  <c r="O72" i="10"/>
  <c r="O66" i="10"/>
  <c r="O62" i="10"/>
  <c r="O60" i="10"/>
  <c r="O58" i="10"/>
  <c r="O56" i="10"/>
  <c r="O52" i="10"/>
  <c r="O46" i="10"/>
  <c r="O40" i="10"/>
  <c r="O38" i="10"/>
  <c r="O36" i="10"/>
  <c r="O32" i="10"/>
  <c r="O67" i="9"/>
  <c r="O65" i="9"/>
  <c r="O59" i="9"/>
  <c r="O49" i="9"/>
  <c r="O48" i="8"/>
  <c r="O67" i="7"/>
  <c r="O59" i="7"/>
  <c r="O53" i="7"/>
  <c r="O35" i="6"/>
  <c r="O33" i="6"/>
  <c r="O31" i="6"/>
  <c r="O71" i="6"/>
  <c r="O65" i="6"/>
  <c r="O53" i="6"/>
  <c r="O68" i="3"/>
  <c r="O66" i="3"/>
  <c r="P130" i="45"/>
  <c r="P111" i="43"/>
  <c r="P115" i="43"/>
  <c r="P121" i="43"/>
  <c r="P112" i="29"/>
  <c r="P124" i="10"/>
  <c r="P123" i="5"/>
  <c r="P153" i="5"/>
  <c r="P147" i="5"/>
  <c r="P145" i="5"/>
  <c r="P139" i="5"/>
  <c r="P131" i="5"/>
  <c r="P113" i="5"/>
  <c r="D94" i="4"/>
  <c r="D94" i="25"/>
  <c r="M87" i="23"/>
  <c r="P129" i="4"/>
  <c r="P113" i="4"/>
  <c r="C82" i="2"/>
  <c r="C59" i="2"/>
  <c r="C14" i="2"/>
  <c r="C39" i="2"/>
  <c r="C77" i="2"/>
  <c r="C80" i="2"/>
  <c r="C28" i="2"/>
  <c r="C62" i="2"/>
  <c r="C10" i="2"/>
  <c r="C56" i="2"/>
  <c r="C8" i="2"/>
  <c r="C55" i="2"/>
  <c r="C73" i="2"/>
  <c r="C50" i="2"/>
  <c r="C22" i="2"/>
  <c r="P107" i="38"/>
  <c r="O45" i="3"/>
  <c r="O51" i="29"/>
  <c r="O69" i="29"/>
  <c r="O71" i="29"/>
  <c r="O58" i="30"/>
  <c r="O52" i="31"/>
  <c r="O20" i="38"/>
  <c r="O63" i="11"/>
  <c r="O57" i="11"/>
  <c r="O62" i="13"/>
  <c r="O44" i="6"/>
  <c r="O42" i="6"/>
  <c r="O40" i="6"/>
  <c r="O38" i="6"/>
  <c r="O36" i="6"/>
  <c r="O34" i="6"/>
  <c r="O30" i="6"/>
  <c r="O49" i="25"/>
  <c r="O47" i="25"/>
  <c r="O45" i="25"/>
  <c r="O43" i="25"/>
  <c r="O54" i="46"/>
  <c r="O64" i="3"/>
  <c r="O60" i="3"/>
  <c r="O50" i="3"/>
  <c r="O46" i="3"/>
  <c r="O44" i="5"/>
  <c r="O41" i="7"/>
  <c r="O37" i="7"/>
  <c r="O35" i="7"/>
  <c r="O45" i="9"/>
  <c r="O43" i="9"/>
  <c r="O41" i="9"/>
  <c r="O37" i="9"/>
  <c r="O35" i="9"/>
  <c r="O40" i="37"/>
  <c r="O25" i="46"/>
  <c r="O37" i="5"/>
  <c r="O48" i="7"/>
  <c r="O32" i="7"/>
  <c r="O64" i="7"/>
  <c r="O68" i="9"/>
  <c r="O62" i="9"/>
  <c r="O56" i="9"/>
  <c r="O42" i="9"/>
  <c r="O30" i="9"/>
  <c r="O36" i="23"/>
  <c r="O34" i="23"/>
  <c r="O32" i="23"/>
  <c r="O30" i="23"/>
  <c r="O39" i="25"/>
  <c r="O37" i="25"/>
  <c r="O33" i="25"/>
  <c r="O29" i="25"/>
  <c r="O24" i="27"/>
  <c r="O26" i="27"/>
  <c r="O28" i="27"/>
  <c r="O30" i="27"/>
  <c r="O32" i="27"/>
  <c r="O34" i="27"/>
  <c r="O36" i="27"/>
  <c r="O38" i="27"/>
  <c r="O40" i="27"/>
  <c r="O42" i="27"/>
  <c r="O44" i="27"/>
  <c r="O46" i="27"/>
  <c r="O52" i="27"/>
  <c r="O54" i="27"/>
  <c r="O56" i="27"/>
  <c r="O58" i="27"/>
  <c r="O60" i="27"/>
  <c r="O62" i="27"/>
  <c r="O64" i="27"/>
  <c r="O66" i="27"/>
  <c r="O68" i="27"/>
  <c r="O70" i="27"/>
  <c r="O72" i="27"/>
  <c r="O19" i="37"/>
  <c r="O21" i="37"/>
  <c r="O25" i="37"/>
  <c r="O27" i="37"/>
  <c r="O33" i="37"/>
  <c r="O37" i="37"/>
  <c r="O41" i="37"/>
  <c r="O43" i="37"/>
  <c r="O45" i="37"/>
  <c r="O47" i="37"/>
  <c r="O49" i="37"/>
  <c r="O51" i="37"/>
  <c r="O53" i="37"/>
  <c r="O55" i="37"/>
  <c r="O57" i="37"/>
  <c r="O63" i="37"/>
  <c r="O65" i="37"/>
  <c r="O67" i="37"/>
  <c r="O69" i="37"/>
  <c r="O71" i="37"/>
  <c r="O22" i="38"/>
  <c r="O26" i="38"/>
  <c r="O30" i="38"/>
  <c r="O44" i="38"/>
  <c r="O54" i="38"/>
  <c r="O58" i="38"/>
  <c r="O60" i="38"/>
  <c r="O72" i="38"/>
  <c r="O69" i="41"/>
  <c r="O42" i="3"/>
  <c r="O38" i="3"/>
  <c r="O42" i="5"/>
  <c r="O32" i="5"/>
  <c r="O30" i="5"/>
  <c r="O33" i="7"/>
  <c r="O72" i="11"/>
  <c r="O59" i="10"/>
  <c r="O55" i="10"/>
  <c r="O39" i="10"/>
  <c r="O69" i="22"/>
  <c r="O65" i="22"/>
  <c r="O55" i="22"/>
  <c r="O27" i="22"/>
  <c r="O72" i="23"/>
  <c r="O68" i="23"/>
  <c r="O66" i="23"/>
  <c r="O62" i="23"/>
  <c r="O40" i="23"/>
  <c r="O38" i="23"/>
  <c r="O58" i="25"/>
  <c r="O52" i="25"/>
  <c r="O42" i="25"/>
  <c r="O40" i="25"/>
  <c r="O38" i="25"/>
  <c r="O32" i="25"/>
  <c r="O26" i="25"/>
  <c r="O39" i="30"/>
  <c r="O45" i="30"/>
  <c r="O49" i="30"/>
  <c r="O61" i="30"/>
  <c r="O65" i="30"/>
  <c r="O67" i="30"/>
  <c r="O65" i="40"/>
  <c r="O49" i="45"/>
  <c r="O19" i="43"/>
  <c r="O23" i="43"/>
  <c r="O39" i="43"/>
  <c r="O45" i="43"/>
  <c r="O71" i="43"/>
  <c r="O20" i="42"/>
  <c r="O26" i="42"/>
  <c r="O28" i="42"/>
  <c r="O32" i="42"/>
  <c r="O36" i="42"/>
  <c r="O38" i="42"/>
  <c r="O40" i="42"/>
  <c r="O42" i="42"/>
  <c r="O44" i="42"/>
  <c r="O46" i="42"/>
  <c r="O48" i="42"/>
  <c r="O60" i="42"/>
  <c r="O64" i="42"/>
  <c r="O66" i="42"/>
  <c r="O72" i="42"/>
  <c r="O58" i="42"/>
  <c r="O68" i="42"/>
  <c r="O23" i="42"/>
  <c r="O31" i="42"/>
  <c r="O33" i="42"/>
  <c r="O35" i="42"/>
  <c r="O57" i="42"/>
  <c r="O63" i="42"/>
  <c r="O71" i="42"/>
  <c r="O28" i="41"/>
  <c r="O38" i="41"/>
  <c r="O44" i="41"/>
  <c r="O46" i="41"/>
  <c r="O50" i="41"/>
  <c r="O56" i="41"/>
  <c r="O58" i="41"/>
  <c r="O64" i="41"/>
  <c r="O68" i="41"/>
  <c r="O70" i="41"/>
  <c r="O72" i="41"/>
  <c r="O19" i="40"/>
  <c r="O21" i="40"/>
  <c r="O23" i="40"/>
  <c r="O25" i="40"/>
  <c r="O27" i="40"/>
  <c r="O29" i="40"/>
  <c r="O31" i="40"/>
  <c r="O33" i="40"/>
  <c r="O35" i="40"/>
  <c r="O37" i="40"/>
  <c r="O39" i="40"/>
  <c r="O41" i="40"/>
  <c r="O43" i="40"/>
  <c r="O47" i="40"/>
  <c r="O49" i="40"/>
  <c r="O51" i="40"/>
  <c r="O53" i="40"/>
  <c r="O57" i="40"/>
  <c r="O59" i="40"/>
  <c r="O61" i="40"/>
  <c r="O63" i="40"/>
  <c r="O67" i="40"/>
  <c r="O69" i="40"/>
  <c r="O71" i="40"/>
  <c r="O41" i="30"/>
  <c r="O43" i="30"/>
  <c r="O51" i="30"/>
  <c r="O53" i="30"/>
  <c r="O57" i="30"/>
  <c r="O59" i="30"/>
  <c r="O63" i="30"/>
  <c r="O69" i="30"/>
  <c r="L20" i="30"/>
  <c r="O20" i="30" s="1"/>
  <c r="O69" i="24"/>
  <c r="O59" i="24"/>
  <c r="O49" i="24"/>
  <c r="O41" i="24"/>
  <c r="O72" i="24"/>
  <c r="O70" i="24"/>
  <c r="O64" i="24"/>
  <c r="O62" i="24"/>
  <c r="O60" i="24"/>
  <c r="O54" i="24"/>
  <c r="O52" i="24"/>
  <c r="O50" i="24"/>
  <c r="O46" i="24"/>
  <c r="O44" i="24"/>
  <c r="O42" i="24"/>
  <c r="O40" i="24"/>
  <c r="O38" i="24"/>
  <c r="O36" i="24"/>
  <c r="O34" i="24"/>
  <c r="O30" i="24"/>
  <c r="O26" i="24"/>
  <c r="O24" i="23"/>
  <c r="O72" i="22"/>
  <c r="O70" i="22"/>
  <c r="O68" i="22"/>
  <c r="O66" i="22"/>
  <c r="O64" i="22"/>
  <c r="O62" i="22"/>
  <c r="O54" i="22"/>
  <c r="O44" i="22"/>
  <c r="O42" i="22"/>
  <c r="O40" i="22"/>
  <c r="O38" i="22"/>
  <c r="O36" i="22"/>
  <c r="O70" i="11"/>
  <c r="O64" i="11"/>
  <c r="O62" i="11"/>
  <c r="O60" i="11"/>
  <c r="O58" i="11"/>
  <c r="O56" i="11"/>
  <c r="O54" i="11"/>
  <c r="O50" i="11"/>
  <c r="O40" i="11"/>
  <c r="O38" i="11"/>
  <c r="O36" i="11"/>
  <c r="O30" i="11"/>
  <c r="O71" i="10"/>
  <c r="O69" i="10"/>
  <c r="O47" i="10"/>
  <c r="O45" i="10"/>
  <c r="O37" i="10"/>
  <c r="O31" i="10"/>
  <c r="O71" i="8"/>
  <c r="O63" i="8"/>
  <c r="O57" i="8"/>
  <c r="O53" i="8"/>
  <c r="O51" i="8"/>
  <c r="O49" i="8"/>
  <c r="O44" i="8"/>
  <c r="O40" i="8"/>
  <c r="O64" i="8"/>
  <c r="O43" i="8"/>
  <c r="O29" i="7"/>
  <c r="O40" i="7"/>
  <c r="O70" i="6"/>
  <c r="O26" i="4"/>
  <c r="O72" i="3"/>
  <c r="O58" i="3"/>
  <c r="O48" i="3"/>
  <c r="O36" i="3"/>
  <c r="O69" i="6"/>
  <c r="O55" i="9"/>
  <c r="O64" i="4"/>
  <c r="O62" i="4"/>
  <c r="O60" i="4"/>
  <c r="O58" i="4"/>
  <c r="O56" i="4"/>
  <c r="O54" i="4"/>
  <c r="O52" i="4"/>
  <c r="O50" i="4"/>
  <c r="O48" i="4"/>
  <c r="O46" i="4"/>
  <c r="O42" i="4"/>
  <c r="O40" i="4"/>
  <c r="O38" i="4"/>
  <c r="O36" i="4"/>
  <c r="O34" i="4"/>
  <c r="O30" i="4"/>
  <c r="O67" i="10"/>
  <c r="O65" i="10"/>
  <c r="O63" i="10"/>
  <c r="O61" i="10"/>
  <c r="O53" i="10"/>
  <c r="O49" i="10"/>
  <c r="O61" i="11"/>
  <c r="O51" i="11"/>
  <c r="O49" i="11"/>
  <c r="O41" i="11"/>
  <c r="O39" i="11"/>
  <c r="O70" i="13"/>
  <c r="O68" i="13"/>
  <c r="O66" i="13"/>
  <c r="O64" i="13"/>
  <c r="O60" i="13"/>
  <c r="O58" i="13"/>
  <c r="O56" i="13"/>
  <c r="O52" i="13"/>
  <c r="O48" i="13"/>
  <c r="O42" i="13"/>
  <c r="O36" i="13"/>
  <c r="O34" i="13"/>
  <c r="O28" i="13"/>
  <c r="O26" i="13"/>
  <c r="O22" i="13"/>
  <c r="O20" i="13"/>
  <c r="O19" i="42"/>
  <c r="O71" i="3"/>
  <c r="O69" i="3"/>
  <c r="O67" i="3"/>
  <c r="O61" i="3"/>
  <c r="O57" i="3"/>
  <c r="O55" i="3"/>
  <c r="O53" i="3"/>
  <c r="O51" i="3"/>
  <c r="O47" i="3"/>
  <c r="O43" i="3"/>
  <c r="O41" i="3"/>
  <c r="O39" i="3"/>
  <c r="O37" i="3"/>
  <c r="O33" i="28"/>
  <c r="O63" i="28"/>
  <c r="O24" i="29"/>
  <c r="O42" i="29"/>
  <c r="O46" i="29"/>
  <c r="O48" i="29"/>
  <c r="O54" i="29"/>
  <c r="O58" i="29"/>
  <c r="O60" i="29"/>
  <c r="O62" i="29"/>
  <c r="O66" i="29"/>
  <c r="O70" i="29"/>
  <c r="O21" i="30"/>
  <c r="O29" i="30"/>
  <c r="O31" i="30"/>
  <c r="O33" i="30"/>
  <c r="O35" i="30"/>
  <c r="O37" i="30"/>
  <c r="O47" i="45"/>
  <c r="O68" i="6"/>
  <c r="O66" i="6"/>
  <c r="O36" i="28"/>
  <c r="O40" i="28"/>
  <c r="O24" i="30"/>
  <c r="O32" i="30"/>
  <c r="O40" i="30"/>
  <c r="O42" i="30"/>
  <c r="O50" i="30"/>
  <c r="O54" i="30"/>
  <c r="O56" i="30"/>
  <c r="O60" i="30"/>
  <c r="O62" i="30"/>
  <c r="O64" i="30"/>
  <c r="O66" i="30"/>
  <c r="O70" i="30"/>
  <c r="O22" i="31"/>
  <c r="O24" i="31"/>
  <c r="O30" i="31"/>
  <c r="O42" i="31"/>
  <c r="O44" i="31"/>
  <c r="O48" i="31"/>
  <c r="O50" i="31"/>
  <c r="O54" i="31"/>
  <c r="O64" i="31"/>
  <c r="O66" i="31"/>
  <c r="O68" i="31"/>
  <c r="O21" i="43"/>
  <c r="O29" i="43"/>
  <c r="O31" i="43"/>
  <c r="O37" i="43"/>
  <c r="O47" i="43"/>
  <c r="O53" i="43"/>
  <c r="O55" i="43"/>
  <c r="O61" i="43"/>
  <c r="O63" i="43"/>
  <c r="O69" i="43"/>
  <c r="O20" i="44"/>
  <c r="O43" i="6"/>
  <c r="C10" i="1"/>
  <c r="C28" i="1"/>
  <c r="C61" i="1"/>
  <c r="C79" i="1"/>
  <c r="C73" i="1"/>
  <c r="C55" i="1"/>
  <c r="C8" i="1"/>
  <c r="C62" i="1"/>
  <c r="F14" i="1"/>
  <c r="E19" i="1" s="1"/>
  <c r="F19" i="1" s="1"/>
  <c r="C82" i="1"/>
  <c r="C76" i="1"/>
  <c r="C39" i="1"/>
  <c r="C50" i="1"/>
  <c r="C22" i="1"/>
  <c r="C56" i="1"/>
  <c r="C14" i="1"/>
  <c r="O24" i="28"/>
  <c r="O28" i="28"/>
  <c r="O30" i="28"/>
  <c r="O34" i="28"/>
  <c r="O38" i="28"/>
  <c r="O42" i="28"/>
  <c r="O52" i="28"/>
  <c r="O54" i="28"/>
  <c r="O58" i="28"/>
  <c r="O60" i="28"/>
  <c r="O62" i="28"/>
  <c r="O64" i="28"/>
  <c r="O66" i="28"/>
  <c r="O68" i="28"/>
  <c r="O70" i="28"/>
  <c r="O23" i="29"/>
  <c r="O33" i="29"/>
  <c r="O35" i="29"/>
  <c r="O37" i="29"/>
  <c r="O39" i="29"/>
  <c r="O41" i="29"/>
  <c r="O43" i="29"/>
  <c r="O45" i="29"/>
  <c r="O47" i="29"/>
  <c r="O49" i="29"/>
  <c r="O53" i="29"/>
  <c r="O57" i="29"/>
  <c r="O59" i="29"/>
  <c r="O61" i="29"/>
  <c r="O63" i="29"/>
  <c r="O65" i="29"/>
  <c r="O30" i="30"/>
  <c r="O68" i="30"/>
  <c r="O28" i="31"/>
  <c r="O32" i="31"/>
  <c r="O36" i="31"/>
  <c r="O56" i="31"/>
  <c r="O60" i="31"/>
  <c r="O62" i="31"/>
  <c r="O70" i="31"/>
  <c r="O28" i="38"/>
  <c r="O32" i="38"/>
  <c r="O34" i="38"/>
  <c r="O40" i="38"/>
  <c r="O52" i="39"/>
  <c r="O68" i="39"/>
  <c r="O70" i="39"/>
  <c r="O41" i="43"/>
  <c r="O49" i="43"/>
  <c r="O51" i="43"/>
  <c r="O34" i="44"/>
  <c r="O62" i="44"/>
  <c r="O68" i="44"/>
  <c r="O72" i="44"/>
  <c r="O28" i="45"/>
  <c r="O44" i="45"/>
  <c r="O58" i="45"/>
  <c r="O60" i="45"/>
  <c r="O72" i="45"/>
  <c r="P153" i="4"/>
  <c r="P131" i="4"/>
  <c r="P121" i="4"/>
  <c r="P119" i="4"/>
  <c r="P117" i="4"/>
  <c r="P114" i="5"/>
  <c r="O72" i="6"/>
  <c r="O18" i="13"/>
  <c r="F17" i="13"/>
  <c r="O63" i="27"/>
  <c r="O65" i="4"/>
  <c r="O63" i="4"/>
  <c r="O61" i="4"/>
  <c r="O59" i="4"/>
  <c r="O57" i="4"/>
  <c r="O53" i="4"/>
  <c r="O51" i="4"/>
  <c r="O64" i="6"/>
  <c r="O56" i="6"/>
  <c r="O54" i="6"/>
  <c r="O52" i="6"/>
  <c r="O50" i="6"/>
  <c r="O48" i="6"/>
  <c r="O46" i="6"/>
  <c r="O68" i="7"/>
  <c r="O54" i="7"/>
  <c r="O52" i="7"/>
  <c r="O50" i="7"/>
  <c r="O46" i="7"/>
  <c r="O44" i="7"/>
  <c r="O42" i="7"/>
  <c r="O38" i="7"/>
  <c r="O36" i="7"/>
  <c r="O69" i="8"/>
  <c r="O65" i="8"/>
  <c r="O61" i="8"/>
  <c r="O59" i="8"/>
  <c r="O55" i="8"/>
  <c r="O38" i="8"/>
  <c r="O36" i="8"/>
  <c r="O34" i="8"/>
  <c r="O30" i="8"/>
  <c r="O70" i="9"/>
  <c r="O66" i="9"/>
  <c r="O64" i="9"/>
  <c r="O60" i="9"/>
  <c r="O52" i="9"/>
  <c r="O46" i="9"/>
  <c r="O44" i="9"/>
  <c r="O40" i="9"/>
  <c r="O36" i="9"/>
  <c r="O34" i="9"/>
  <c r="O32" i="9"/>
  <c r="O49" i="31"/>
  <c r="O53" i="31"/>
  <c r="O57" i="31"/>
  <c r="O61" i="31"/>
  <c r="O63" i="31"/>
  <c r="O65" i="31"/>
  <c r="O33" i="39"/>
  <c r="O37" i="39"/>
  <c r="O39" i="39"/>
  <c r="O43" i="39"/>
  <c r="O53" i="39"/>
  <c r="O57" i="39"/>
  <c r="O59" i="39"/>
  <c r="O61" i="39"/>
  <c r="O63" i="39"/>
  <c r="O69" i="39"/>
  <c r="O71" i="39"/>
  <c r="P121" i="41"/>
  <c r="P125" i="42"/>
  <c r="O53" i="44"/>
  <c r="O25" i="45"/>
  <c r="O55" i="46"/>
  <c r="O59" i="46"/>
  <c r="O26" i="41"/>
  <c r="O30" i="41"/>
  <c r="O40" i="41"/>
  <c r="O48" i="41"/>
  <c r="O50" i="42"/>
  <c r="O56" i="24"/>
  <c r="O61" i="25"/>
  <c r="O35" i="45"/>
  <c r="O37" i="45"/>
  <c r="O32" i="4"/>
  <c r="O28" i="4"/>
  <c r="O44" i="44"/>
  <c r="O35" i="3"/>
  <c r="O33" i="3"/>
  <c r="O29" i="3"/>
  <c r="O52" i="3"/>
  <c r="O33" i="10"/>
  <c r="O51" i="22"/>
  <c r="O46" i="38"/>
  <c r="O50" i="38"/>
  <c r="O62" i="38"/>
  <c r="O68" i="38"/>
  <c r="O70" i="38"/>
  <c r="O23" i="41"/>
  <c r="O25" i="42"/>
  <c r="O39" i="42"/>
  <c r="O65" i="42"/>
  <c r="O67" i="42"/>
  <c r="O18" i="46"/>
  <c r="O39" i="4"/>
  <c r="O33" i="8"/>
  <c r="O72" i="37"/>
  <c r="O62" i="43"/>
  <c r="O37" i="44"/>
  <c r="O61" i="44"/>
  <c r="O19" i="45"/>
  <c r="O62" i="45"/>
  <c r="O38" i="46"/>
  <c r="O56" i="46"/>
  <c r="O63" i="3"/>
  <c r="O70" i="4"/>
  <c r="O66" i="4"/>
  <c r="O50" i="10"/>
  <c r="O55" i="13"/>
  <c r="O53" i="13"/>
  <c r="O51" i="13"/>
  <c r="O49" i="13"/>
  <c r="O47" i="13"/>
  <c r="O33" i="13"/>
  <c r="O31" i="13"/>
  <c r="O39" i="24"/>
  <c r="O45" i="38"/>
  <c r="O53" i="38"/>
  <c r="O68" i="46"/>
  <c r="O27" i="29"/>
  <c r="O49" i="39"/>
  <c r="O43" i="43"/>
  <c r="O48" i="44"/>
  <c r="O54" i="44"/>
  <c r="O29" i="46"/>
  <c r="O72" i="46"/>
  <c r="D93" i="10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O67" i="4"/>
  <c r="O72" i="7"/>
  <c r="O70" i="7"/>
  <c r="O41" i="8"/>
  <c r="O37" i="8"/>
  <c r="O53" i="22"/>
  <c r="O38" i="31"/>
  <c r="O27" i="38"/>
  <c r="O52" i="38"/>
  <c r="O53" i="46"/>
  <c r="J96" i="13"/>
  <c r="F48" i="1"/>
  <c r="F52" i="1" s="1"/>
  <c r="O30" i="3"/>
  <c r="O36" i="5"/>
  <c r="O59" i="11"/>
  <c r="O35" i="22"/>
  <c r="O53" i="23"/>
  <c r="O51" i="23"/>
  <c r="O45" i="23"/>
  <c r="O51" i="24"/>
  <c r="O48" i="24"/>
  <c r="O32" i="24"/>
  <c r="O69" i="25"/>
  <c r="O37" i="28"/>
  <c r="O41" i="28"/>
  <c r="O55" i="28"/>
  <c r="O29" i="29"/>
  <c r="O31" i="29"/>
  <c r="O43" i="38"/>
  <c r="O22" i="39"/>
  <c r="O28" i="39"/>
  <c r="O30" i="39"/>
  <c r="O36" i="39"/>
  <c r="O24" i="41"/>
  <c r="O54" i="42"/>
  <c r="O36" i="44"/>
  <c r="O56" i="44"/>
  <c r="O58" i="44"/>
  <c r="O23" i="45"/>
  <c r="O27" i="45"/>
  <c r="O29" i="45"/>
  <c r="O36" i="45"/>
  <c r="O52" i="45"/>
  <c r="O63" i="45"/>
  <c r="O19" i="46"/>
  <c r="O42" i="46"/>
  <c r="O44" i="46"/>
  <c r="O52" i="46"/>
  <c r="O60" i="46"/>
  <c r="O64" i="46"/>
  <c r="O70" i="46"/>
  <c r="O56" i="3"/>
  <c r="O72" i="4"/>
  <c r="O68" i="4"/>
  <c r="O47" i="4"/>
  <c r="O43" i="4"/>
  <c r="O41" i="4"/>
  <c r="O37" i="4"/>
  <c r="O33" i="4"/>
  <c r="O41" i="5"/>
  <c r="O39" i="5"/>
  <c r="O71" i="7"/>
  <c r="O68" i="10"/>
  <c r="O40" i="13"/>
  <c r="O38" i="13"/>
  <c r="O60" i="22"/>
  <c r="O58" i="22"/>
  <c r="O56" i="22"/>
  <c r="O52" i="22"/>
  <c r="O50" i="22"/>
  <c r="O48" i="22"/>
  <c r="O46" i="22"/>
  <c r="O34" i="22"/>
  <c r="O32" i="22"/>
  <c r="O47" i="38"/>
  <c r="O19" i="41"/>
  <c r="O34" i="41"/>
  <c r="O36" i="41"/>
  <c r="O52" i="41"/>
  <c r="O17" i="43"/>
  <c r="O25" i="43"/>
  <c r="O27" i="43"/>
  <c r="O35" i="43"/>
  <c r="O19" i="44"/>
  <c r="O66" i="46"/>
  <c r="O33" i="5"/>
  <c r="O63" i="6"/>
  <c r="O42" i="8"/>
  <c r="O48" i="11"/>
  <c r="O44" i="11"/>
  <c r="O43" i="13"/>
  <c r="O29" i="13"/>
  <c r="O31" i="24"/>
  <c r="O29" i="24"/>
  <c r="O70" i="25"/>
  <c r="O66" i="25"/>
  <c r="O41" i="27"/>
  <c r="O32" i="28"/>
  <c r="O44" i="28"/>
  <c r="O46" i="28"/>
  <c r="O48" i="28"/>
  <c r="O25" i="29"/>
  <c r="O22" i="30"/>
  <c r="O28" i="30"/>
  <c r="O21" i="39"/>
  <c r="O42" i="39"/>
  <c r="O46" i="39"/>
  <c r="O50" i="39"/>
  <c r="O62" i="39"/>
  <c r="O18" i="41"/>
  <c r="O20" i="41"/>
  <c r="O37" i="41"/>
  <c r="O51" i="41"/>
  <c r="O53" i="41"/>
  <c r="O24" i="42"/>
  <c r="O34" i="42"/>
  <c r="O34" i="43"/>
  <c r="O22" i="44"/>
  <c r="O30" i="44"/>
  <c r="O20" i="45"/>
  <c r="O39" i="45"/>
  <c r="O43" i="45"/>
  <c r="O45" i="45"/>
  <c r="O57" i="45"/>
  <c r="O64" i="45"/>
  <c r="O66" i="45"/>
  <c r="O68" i="45"/>
  <c r="O70" i="45"/>
  <c r="O24" i="46"/>
  <c r="O45" i="46"/>
  <c r="O47" i="46"/>
  <c r="O61" i="46"/>
  <c r="O67" i="46"/>
  <c r="O35" i="8"/>
  <c r="O54" i="3"/>
  <c r="O47" i="5"/>
  <c r="D94" i="37"/>
  <c r="D92" i="37"/>
  <c r="B100" i="37" s="1"/>
  <c r="O70" i="3"/>
  <c r="O44" i="3"/>
  <c r="O40" i="3"/>
  <c r="O32" i="3"/>
  <c r="O45" i="4"/>
  <c r="O35" i="4"/>
  <c r="O46" i="5"/>
  <c r="O35" i="5"/>
  <c r="O62" i="6"/>
  <c r="O60" i="6"/>
  <c r="O58" i="6"/>
  <c r="O66" i="7"/>
  <c r="O62" i="7"/>
  <c r="O60" i="7"/>
  <c r="O58" i="7"/>
  <c r="O56" i="7"/>
  <c r="O43" i="7"/>
  <c r="O67" i="8"/>
  <c r="O47" i="8"/>
  <c r="O72" i="9"/>
  <c r="O50" i="9"/>
  <c r="O48" i="9"/>
  <c r="O57" i="10"/>
  <c r="O51" i="10"/>
  <c r="O41" i="10"/>
  <c r="O71" i="11"/>
  <c r="O65" i="11"/>
  <c r="O52" i="11"/>
  <c r="O47" i="11"/>
  <c r="O45" i="11"/>
  <c r="O43" i="11"/>
  <c r="O34" i="11"/>
  <c r="O32" i="11"/>
  <c r="O44" i="13"/>
  <c r="O39" i="13"/>
  <c r="O37" i="13"/>
  <c r="O32" i="13"/>
  <c r="O30" i="13"/>
  <c r="O27" i="13"/>
  <c r="O67" i="23"/>
  <c r="O56" i="23"/>
  <c r="O28" i="23"/>
  <c r="O59" i="25"/>
  <c r="O35" i="27"/>
  <c r="O50" i="27"/>
  <c r="O71" i="27"/>
  <c r="O30" i="29"/>
  <c r="O32" i="29"/>
  <c r="O34" i="31"/>
  <c r="O40" i="31"/>
  <c r="O35" i="37"/>
  <c r="O64" i="37"/>
  <c r="O51" i="38"/>
  <c r="O27" i="39"/>
  <c r="O70" i="42"/>
  <c r="O46" i="43"/>
  <c r="O21" i="46"/>
  <c r="O43" i="10"/>
  <c r="O61" i="22"/>
  <c r="O49" i="22"/>
  <c r="O28" i="22"/>
  <c r="O48" i="23"/>
  <c r="O41" i="25"/>
  <c r="O35" i="25"/>
  <c r="O31" i="25"/>
  <c r="O27" i="25"/>
  <c r="O43" i="28"/>
  <c r="O51" i="28"/>
  <c r="O22" i="29"/>
  <c r="O59" i="37"/>
  <c r="O65" i="3"/>
  <c r="O28" i="3"/>
  <c r="O69" i="4"/>
  <c r="O29" i="4"/>
  <c r="O45" i="5"/>
  <c r="O43" i="5"/>
  <c r="O34" i="5"/>
  <c r="O61" i="6"/>
  <c r="O59" i="6"/>
  <c r="O41" i="6"/>
  <c r="O37" i="6"/>
  <c r="O29" i="6"/>
  <c r="O63" i="7"/>
  <c r="O61" i="7"/>
  <c r="O46" i="8"/>
  <c r="O45" i="8"/>
  <c r="O31" i="8"/>
  <c r="O29" i="8"/>
  <c r="O71" i="9"/>
  <c r="O69" i="9"/>
  <c r="O54" i="9"/>
  <c r="O54" i="10"/>
  <c r="O44" i="10"/>
  <c r="O42" i="10"/>
  <c r="O68" i="11"/>
  <c r="O55" i="11"/>
  <c r="O42" i="11"/>
  <c r="O31" i="11"/>
  <c r="O72" i="13"/>
  <c r="O24" i="13"/>
  <c r="O33" i="22"/>
  <c r="O66" i="24"/>
  <c r="O57" i="24"/>
  <c r="O22" i="28"/>
  <c r="O50" i="28"/>
  <c r="O56" i="28"/>
  <c r="O28" i="29"/>
  <c r="O26" i="30"/>
  <c r="O55" i="30"/>
  <c r="O33" i="38"/>
  <c r="O55" i="44"/>
  <c r="O47" i="39"/>
  <c r="O54" i="39"/>
  <c r="O20" i="40"/>
  <c r="O55" i="40"/>
  <c r="O49" i="41"/>
  <c r="O30" i="42"/>
  <c r="O41" i="42"/>
  <c r="O47" i="42"/>
  <c r="O57" i="43"/>
  <c r="O59" i="43"/>
  <c r="O65" i="43"/>
  <c r="O67" i="43"/>
  <c r="O23" i="44"/>
  <c r="O27" i="44"/>
  <c r="O31" i="44"/>
  <c r="O38" i="44"/>
  <c r="O40" i="44"/>
  <c r="O42" i="44"/>
  <c r="O46" i="44"/>
  <c r="O66" i="44"/>
  <c r="O17" i="45"/>
  <c r="O22" i="45"/>
  <c r="O30" i="45"/>
  <c r="O38" i="45"/>
  <c r="O46" i="45"/>
  <c r="O53" i="45"/>
  <c r="O36" i="46"/>
  <c r="O50" i="46"/>
  <c r="O38" i="29"/>
  <c r="O44" i="29"/>
  <c r="O55" i="29"/>
  <c r="O68" i="29"/>
  <c r="O72" i="29"/>
  <c r="O34" i="30"/>
  <c r="O36" i="30"/>
  <c r="O38" i="30"/>
  <c r="O44" i="30"/>
  <c r="O46" i="30"/>
  <c r="O48" i="30"/>
  <c r="O71" i="30"/>
  <c r="O29" i="31"/>
  <c r="O46" i="31"/>
  <c r="O58" i="31"/>
  <c r="O29" i="37"/>
  <c r="O31" i="37"/>
  <c r="O44" i="37"/>
  <c r="O46" i="37"/>
  <c r="O48" i="37"/>
  <c r="O61" i="37"/>
  <c r="O24" i="38"/>
  <c r="O41" i="38"/>
  <c r="O48" i="38"/>
  <c r="O55" i="38"/>
  <c r="O64" i="38"/>
  <c r="O66" i="38"/>
  <c r="O29" i="39"/>
  <c r="O66" i="39"/>
  <c r="O60" i="41"/>
  <c r="O69" i="42"/>
  <c r="O24" i="43"/>
  <c r="O30" i="43"/>
  <c r="O50" i="43"/>
  <c r="O35" i="44"/>
  <c r="O59" i="44"/>
  <c r="O70" i="44"/>
  <c r="O24" i="45"/>
  <c r="O32" i="45"/>
  <c r="O40" i="45"/>
  <c r="O48" i="45"/>
  <c r="O50" i="45"/>
  <c r="O69" i="45"/>
  <c r="O27" i="46"/>
  <c r="O40" i="46"/>
  <c r="O27" i="30"/>
  <c r="O72" i="30"/>
  <c r="O25" i="38"/>
  <c r="O36" i="38"/>
  <c r="O42" i="38"/>
  <c r="O49" i="38"/>
  <c r="O56" i="38"/>
  <c r="O65" i="39"/>
  <c r="O48" i="40"/>
  <c r="O32" i="41"/>
  <c r="O39" i="41"/>
  <c r="O41" i="41"/>
  <c r="O43" i="41"/>
  <c r="O27" i="42"/>
  <c r="O52" i="42"/>
  <c r="O56" i="42"/>
  <c r="O62" i="42"/>
  <c r="O42" i="43"/>
  <c r="O58" i="43"/>
  <c r="O66" i="43"/>
  <c r="O17" i="44"/>
  <c r="O24" i="44"/>
  <c r="O26" i="44"/>
  <c r="O32" i="44"/>
  <c r="O39" i="44"/>
  <c r="O43" i="44"/>
  <c r="O45" i="44"/>
  <c r="O47" i="44"/>
  <c r="O51" i="44"/>
  <c r="O63" i="44"/>
  <c r="O71" i="44"/>
  <c r="O26" i="45"/>
  <c r="O34" i="45"/>
  <c r="O42" i="45"/>
  <c r="O54" i="45"/>
  <c r="O56" i="45"/>
  <c r="O48" i="46"/>
  <c r="O63" i="46"/>
  <c r="C105" i="37"/>
  <c r="C106" i="37" s="1"/>
  <c r="C107" i="37" s="1"/>
  <c r="C108" i="37" s="1"/>
  <c r="C109" i="37" s="1"/>
  <c r="C110" i="37" s="1"/>
  <c r="C111" i="37" s="1"/>
  <c r="C112" i="37" s="1"/>
  <c r="C113" i="37" s="1"/>
  <c r="C114" i="37" s="1"/>
  <c r="C115" i="37" s="1"/>
  <c r="C116" i="37" s="1"/>
  <c r="C117" i="37" s="1"/>
  <c r="C118" i="37" s="1"/>
  <c r="C119" i="37" s="1"/>
  <c r="C120" i="37" s="1"/>
  <c r="C121" i="37" s="1"/>
  <c r="C122" i="37" s="1"/>
  <c r="C123" i="37" s="1"/>
  <c r="C124" i="37" s="1"/>
  <c r="C125" i="37" s="1"/>
  <c r="C126" i="37" s="1"/>
  <c r="C127" i="37" s="1"/>
  <c r="C128" i="37" s="1"/>
  <c r="C129" i="37" s="1"/>
  <c r="C130" i="37" s="1"/>
  <c r="C131" i="37" s="1"/>
  <c r="C132" i="37" s="1"/>
  <c r="C133" i="37" s="1"/>
  <c r="C134" i="37" s="1"/>
  <c r="C135" i="37" s="1"/>
  <c r="C136" i="37" s="1"/>
  <c r="C137" i="37" s="1"/>
  <c r="C138" i="37" s="1"/>
  <c r="C139" i="37" s="1"/>
  <c r="C140" i="37" s="1"/>
  <c r="C141" i="37" s="1"/>
  <c r="C142" i="37" s="1"/>
  <c r="C143" i="37" s="1"/>
  <c r="C144" i="37" s="1"/>
  <c r="C145" i="37" s="1"/>
  <c r="C146" i="37" s="1"/>
  <c r="C147" i="37" s="1"/>
  <c r="C148" i="37" s="1"/>
  <c r="C149" i="37" s="1"/>
  <c r="C150" i="37" s="1"/>
  <c r="C151" i="37" s="1"/>
  <c r="C152" i="37" s="1"/>
  <c r="C153" i="37" s="1"/>
  <c r="C154" i="37" s="1"/>
  <c r="C99" i="38"/>
  <c r="D94" i="39"/>
  <c r="C100" i="30"/>
  <c r="C101" i="30" s="1"/>
  <c r="C102" i="30" s="1"/>
  <c r="C103" i="30" s="1"/>
  <c r="C104" i="30" s="1"/>
  <c r="C105" i="30" s="1"/>
  <c r="C106" i="30" s="1"/>
  <c r="C107" i="30" s="1"/>
  <c r="C108" i="30" s="1"/>
  <c r="C109" i="30" s="1"/>
  <c r="C110" i="30" s="1"/>
  <c r="C111" i="30" s="1"/>
  <c r="C112" i="30" s="1"/>
  <c r="C113" i="30" s="1"/>
  <c r="C114" i="30" s="1"/>
  <c r="C115" i="30" s="1"/>
  <c r="C116" i="30" s="1"/>
  <c r="C117" i="30" s="1"/>
  <c r="C118" i="30" s="1"/>
  <c r="C119" i="30" s="1"/>
  <c r="C120" i="30" s="1"/>
  <c r="C121" i="30" s="1"/>
  <c r="C122" i="30" s="1"/>
  <c r="C123" i="30" s="1"/>
  <c r="C124" i="30" s="1"/>
  <c r="C125" i="30" s="1"/>
  <c r="C126" i="30" s="1"/>
  <c r="C127" i="30" s="1"/>
  <c r="C128" i="30" s="1"/>
  <c r="C129" i="30" s="1"/>
  <c r="C130" i="30" s="1"/>
  <c r="C131" i="30" s="1"/>
  <c r="C132" i="30" s="1"/>
  <c r="C133" i="30" s="1"/>
  <c r="C134" i="30" s="1"/>
  <c r="C135" i="30" s="1"/>
  <c r="C136" i="30" s="1"/>
  <c r="C137" i="30" s="1"/>
  <c r="C138" i="30" s="1"/>
  <c r="C139" i="30" s="1"/>
  <c r="C140" i="30" s="1"/>
  <c r="C141" i="30" s="1"/>
  <c r="C142" i="30" s="1"/>
  <c r="C143" i="30" s="1"/>
  <c r="C144" i="30" s="1"/>
  <c r="C145" i="30" s="1"/>
  <c r="C146" i="30" s="1"/>
  <c r="C147" i="30" s="1"/>
  <c r="C148" i="30" s="1"/>
  <c r="C149" i="30" s="1"/>
  <c r="C150" i="30" s="1"/>
  <c r="C151" i="30" s="1"/>
  <c r="C152" i="30" s="1"/>
  <c r="C153" i="30" s="1"/>
  <c r="C154" i="30" s="1"/>
  <c r="D94" i="30"/>
  <c r="D93" i="22"/>
  <c r="D93" i="31"/>
  <c r="C99" i="31" s="1"/>
  <c r="C100" i="31" s="1"/>
  <c r="C101" i="31" s="1"/>
  <c r="C102" i="31" s="1"/>
  <c r="C103" i="31" s="1"/>
  <c r="C104" i="31" s="1"/>
  <c r="C105" i="31" s="1"/>
  <c r="C106" i="31" s="1"/>
  <c r="C107" i="31" s="1"/>
  <c r="C108" i="31" s="1"/>
  <c r="C109" i="31" s="1"/>
  <c r="C110" i="31" s="1"/>
  <c r="C111" i="31" s="1"/>
  <c r="C112" i="31" s="1"/>
  <c r="C113" i="31" s="1"/>
  <c r="C114" i="31" s="1"/>
  <c r="C115" i="31" s="1"/>
  <c r="C116" i="31" s="1"/>
  <c r="C117" i="31" s="1"/>
  <c r="C118" i="31" s="1"/>
  <c r="C119" i="31" s="1"/>
  <c r="C120" i="31" s="1"/>
  <c r="C121" i="31" s="1"/>
  <c r="C122" i="31" s="1"/>
  <c r="C123" i="31" s="1"/>
  <c r="C124" i="31" s="1"/>
  <c r="C125" i="31" s="1"/>
  <c r="C126" i="31" s="1"/>
  <c r="C127" i="31" s="1"/>
  <c r="C128" i="31" s="1"/>
  <c r="C129" i="31" s="1"/>
  <c r="C130" i="31" s="1"/>
  <c r="C131" i="31" s="1"/>
  <c r="C132" i="31" s="1"/>
  <c r="C133" i="31" s="1"/>
  <c r="C134" i="31" s="1"/>
  <c r="C135" i="31" s="1"/>
  <c r="C136" i="31" s="1"/>
  <c r="C137" i="31" s="1"/>
  <c r="C138" i="31" s="1"/>
  <c r="C139" i="31" s="1"/>
  <c r="C140" i="31" s="1"/>
  <c r="C141" i="31" s="1"/>
  <c r="C142" i="31" s="1"/>
  <c r="C143" i="31" s="1"/>
  <c r="C144" i="31" s="1"/>
  <c r="C145" i="31" s="1"/>
  <c r="C146" i="31" s="1"/>
  <c r="C147" i="31" s="1"/>
  <c r="C148" i="31" s="1"/>
  <c r="C149" i="31" s="1"/>
  <c r="C150" i="31" s="1"/>
  <c r="C151" i="31" s="1"/>
  <c r="C152" i="31" s="1"/>
  <c r="C153" i="31" s="1"/>
  <c r="C154" i="31" s="1"/>
  <c r="C99" i="5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99" i="23"/>
  <c r="C100" i="23" s="1"/>
  <c r="C101" i="23" s="1"/>
  <c r="C102" i="23" s="1"/>
  <c r="C103" i="23" s="1"/>
  <c r="C104" i="23" s="1"/>
  <c r="C105" i="23" s="1"/>
  <c r="C106" i="23" s="1"/>
  <c r="C107" i="23" s="1"/>
  <c r="C108" i="23" s="1"/>
  <c r="C109" i="23" s="1"/>
  <c r="C110" i="23" s="1"/>
  <c r="C111" i="23" s="1"/>
  <c r="C112" i="23" s="1"/>
  <c r="C113" i="23" s="1"/>
  <c r="C114" i="23" s="1"/>
  <c r="C115" i="23" s="1"/>
  <c r="C116" i="23" s="1"/>
  <c r="C117" i="23" s="1"/>
  <c r="C118" i="23" s="1"/>
  <c r="C119" i="23" s="1"/>
  <c r="C120" i="23" s="1"/>
  <c r="C121" i="23" s="1"/>
  <c r="C122" i="23" s="1"/>
  <c r="C123" i="23" s="1"/>
  <c r="C124" i="23" s="1"/>
  <c r="C125" i="23" s="1"/>
  <c r="C126" i="23" s="1"/>
  <c r="C127" i="23" s="1"/>
  <c r="C128" i="23" s="1"/>
  <c r="C129" i="23" s="1"/>
  <c r="C130" i="23" s="1"/>
  <c r="C131" i="23" s="1"/>
  <c r="C132" i="23" s="1"/>
  <c r="C133" i="23" s="1"/>
  <c r="C134" i="23" s="1"/>
  <c r="C135" i="23" s="1"/>
  <c r="C136" i="23" s="1"/>
  <c r="C137" i="23" s="1"/>
  <c r="C138" i="23" s="1"/>
  <c r="C139" i="23" s="1"/>
  <c r="C140" i="23" s="1"/>
  <c r="C141" i="23" s="1"/>
  <c r="C142" i="23" s="1"/>
  <c r="C143" i="23" s="1"/>
  <c r="C144" i="23" s="1"/>
  <c r="C145" i="23" s="1"/>
  <c r="C146" i="23" s="1"/>
  <c r="C147" i="23" s="1"/>
  <c r="C148" i="23" s="1"/>
  <c r="C149" i="23" s="1"/>
  <c r="C150" i="23" s="1"/>
  <c r="C151" i="23" s="1"/>
  <c r="C152" i="23" s="1"/>
  <c r="C153" i="23" s="1"/>
  <c r="C154" i="23" s="1"/>
  <c r="D100" i="13"/>
  <c r="B100" i="13" s="1"/>
  <c r="P130" i="31"/>
  <c r="P104" i="41"/>
  <c r="P120" i="11"/>
  <c r="P104" i="28"/>
  <c r="P116" i="28"/>
  <c r="P126" i="28"/>
  <c r="P126" i="31"/>
  <c r="P102" i="39"/>
  <c r="P104" i="39"/>
  <c r="P106" i="39"/>
  <c r="P114" i="39"/>
  <c r="P120" i="39"/>
  <c r="P124" i="39"/>
  <c r="P126" i="39"/>
  <c r="P128" i="39"/>
  <c r="P130" i="39"/>
  <c r="P100" i="40"/>
  <c r="P106" i="40"/>
  <c r="P128" i="40"/>
  <c r="P110" i="41"/>
  <c r="P112" i="41"/>
  <c r="P114" i="41"/>
  <c r="P116" i="41"/>
  <c r="P118" i="41"/>
  <c r="P100" i="42"/>
  <c r="P114" i="42"/>
  <c r="P126" i="42"/>
  <c r="P128" i="42"/>
  <c r="P130" i="42"/>
  <c r="P110" i="43"/>
  <c r="P109" i="44"/>
  <c r="P125" i="44"/>
  <c r="P137" i="3"/>
  <c r="P113" i="3"/>
  <c r="P109" i="3"/>
  <c r="P139" i="4"/>
  <c r="P135" i="4"/>
  <c r="P133" i="4"/>
  <c r="P127" i="4"/>
  <c r="P125" i="4"/>
  <c r="P123" i="4"/>
  <c r="P115" i="4"/>
  <c r="P133" i="7"/>
  <c r="P138" i="8"/>
  <c r="P136" i="8"/>
  <c r="P134" i="8"/>
  <c r="P132" i="8"/>
  <c r="P130" i="8"/>
  <c r="P128" i="8"/>
  <c r="P124" i="8"/>
  <c r="P122" i="8"/>
  <c r="P120" i="8"/>
  <c r="P118" i="8"/>
  <c r="P116" i="8"/>
  <c r="P110" i="8"/>
  <c r="P152" i="10"/>
  <c r="P125" i="13"/>
  <c r="P126" i="22"/>
  <c r="P151" i="4"/>
  <c r="P149" i="4"/>
  <c r="P141" i="4"/>
  <c r="P109" i="4"/>
  <c r="P126" i="8"/>
  <c r="P134" i="3"/>
  <c r="P130" i="3"/>
  <c r="P132" i="7"/>
  <c r="P118" i="28"/>
  <c r="P118" i="39"/>
  <c r="P122" i="39"/>
  <c r="P104" i="40"/>
  <c r="P120" i="40"/>
  <c r="P104" i="42"/>
  <c r="P119" i="22"/>
  <c r="P118" i="9"/>
  <c r="P130" i="11"/>
  <c r="P124" i="46"/>
  <c r="P117" i="5"/>
  <c r="P126" i="24"/>
  <c r="P122" i="24"/>
  <c r="P114" i="24"/>
  <c r="P112" i="24"/>
  <c r="P129" i="22"/>
  <c r="P125" i="22"/>
  <c r="P117" i="22"/>
  <c r="P115" i="22"/>
  <c r="P112" i="27"/>
  <c r="P122" i="27"/>
  <c r="P111" i="29"/>
  <c r="P117" i="29"/>
  <c r="P129" i="29"/>
  <c r="P118" i="30"/>
  <c r="P126" i="30"/>
  <c r="P106" i="38"/>
  <c r="P108" i="38"/>
  <c r="P112" i="38"/>
  <c r="P114" i="38"/>
  <c r="P116" i="38"/>
  <c r="P118" i="38"/>
  <c r="P122" i="38"/>
  <c r="P124" i="38"/>
  <c r="P128" i="5"/>
  <c r="P126" i="5"/>
  <c r="P120" i="5"/>
  <c r="P118" i="5"/>
  <c r="P116" i="5"/>
  <c r="P128" i="11"/>
  <c r="P126" i="11"/>
  <c r="P124" i="11"/>
  <c r="P122" i="11"/>
  <c r="P118" i="11"/>
  <c r="P114" i="11"/>
  <c r="P112" i="11"/>
  <c r="P125" i="24"/>
  <c r="P119" i="24"/>
  <c r="P117" i="24"/>
  <c r="P115" i="24"/>
  <c r="P113" i="24"/>
  <c r="P111" i="24"/>
  <c r="P109" i="24"/>
  <c r="P101" i="37"/>
  <c r="P109" i="37"/>
  <c r="P154" i="3"/>
  <c r="P150" i="3"/>
  <c r="P146" i="3"/>
  <c r="P144" i="3"/>
  <c r="P142" i="3"/>
  <c r="P140" i="3"/>
  <c r="P136" i="3"/>
  <c r="P132" i="3"/>
  <c r="P128" i="3"/>
  <c r="P126" i="3"/>
  <c r="P124" i="3"/>
  <c r="P120" i="3"/>
  <c r="P112" i="3"/>
  <c r="P150" i="7"/>
  <c r="P138" i="7"/>
  <c r="P128" i="7"/>
  <c r="P126" i="7"/>
  <c r="P122" i="7"/>
  <c r="P137" i="8"/>
  <c r="P137" i="10"/>
  <c r="P126" i="13"/>
  <c r="P117" i="23"/>
  <c r="P117" i="28"/>
  <c r="P122" i="37"/>
  <c r="P128" i="37"/>
  <c r="P105" i="39"/>
  <c r="P115" i="39"/>
  <c r="P101" i="40"/>
  <c r="P105" i="40"/>
  <c r="P109" i="40"/>
  <c r="P113" i="40"/>
  <c r="P127" i="40"/>
  <c r="P129" i="40"/>
  <c r="P109" i="27"/>
  <c r="P110" i="29"/>
  <c r="P109" i="38"/>
  <c r="P111" i="38"/>
  <c r="P113" i="38"/>
  <c r="P117" i="38"/>
  <c r="P119" i="38"/>
  <c r="P123" i="38"/>
  <c r="P109" i="42"/>
  <c r="P108" i="28"/>
  <c r="P114" i="28"/>
  <c r="P124" i="28"/>
  <c r="P128" i="28"/>
  <c r="P104" i="31"/>
  <c r="P116" i="31"/>
  <c r="P120" i="31"/>
  <c r="P124" i="31"/>
  <c r="P128" i="31"/>
  <c r="P105" i="37"/>
  <c r="P107" i="37"/>
  <c r="P111" i="37"/>
  <c r="P113" i="37"/>
  <c r="P115" i="37"/>
  <c r="P119" i="37"/>
  <c r="P125" i="37"/>
  <c r="P129" i="37"/>
  <c r="P126" i="45"/>
  <c r="P101" i="46"/>
  <c r="P129" i="46"/>
  <c r="J92" i="46"/>
  <c r="P105" i="28"/>
  <c r="P111" i="28"/>
  <c r="P111" i="40"/>
  <c r="P121" i="40"/>
  <c r="P102" i="37"/>
  <c r="P125" i="9"/>
  <c r="P115" i="31"/>
  <c r="P110" i="37"/>
  <c r="P114" i="37"/>
  <c r="P118" i="37"/>
  <c r="P126" i="37"/>
  <c r="P149" i="7"/>
  <c r="P145" i="7"/>
  <c r="P141" i="7"/>
  <c r="P137" i="7"/>
  <c r="P117" i="7"/>
  <c r="P105" i="27"/>
  <c r="P111" i="27"/>
  <c r="P113" i="27"/>
  <c r="P115" i="27"/>
  <c r="P119" i="27"/>
  <c r="P121" i="27"/>
  <c r="P125" i="27"/>
  <c r="P127" i="27"/>
  <c r="P129" i="27"/>
  <c r="P108" i="29"/>
  <c r="P116" i="29"/>
  <c r="P118" i="29"/>
  <c r="P120" i="29"/>
  <c r="P118" i="31"/>
  <c r="P122" i="44"/>
  <c r="P104" i="37"/>
  <c r="P108" i="37"/>
  <c r="P120" i="37"/>
  <c r="P124" i="37"/>
  <c r="P130" i="37"/>
  <c r="P148" i="3"/>
  <c r="P138" i="3"/>
  <c r="P122" i="3"/>
  <c r="P110" i="3"/>
  <c r="P144" i="4"/>
  <c r="P140" i="4"/>
  <c r="P136" i="4"/>
  <c r="P124" i="4"/>
  <c r="P129" i="10"/>
  <c r="P127" i="10"/>
  <c r="P125" i="10"/>
  <c r="P123" i="10"/>
  <c r="P121" i="10"/>
  <c r="P119" i="10"/>
  <c r="P117" i="10"/>
  <c r="P115" i="10"/>
  <c r="P130" i="13"/>
  <c r="P128" i="13"/>
  <c r="P120" i="13"/>
  <c r="P116" i="13"/>
  <c r="P114" i="13"/>
  <c r="P112" i="13"/>
  <c r="P110" i="13"/>
  <c r="P108" i="13"/>
  <c r="P106" i="13"/>
  <c r="P104" i="13"/>
  <c r="P102" i="13"/>
  <c r="P100" i="13"/>
  <c r="P118" i="27"/>
  <c r="P124" i="27"/>
  <c r="P112" i="30"/>
  <c r="P116" i="30"/>
  <c r="P120" i="30"/>
  <c r="P124" i="30"/>
  <c r="P128" i="30"/>
  <c r="P100" i="41"/>
  <c r="P106" i="41"/>
  <c r="P122" i="41"/>
  <c r="P107" i="44"/>
  <c r="P111" i="44"/>
  <c r="C99" i="1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 s="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C45" i="5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45" i="37"/>
  <c r="C46" i="37" s="1"/>
  <c r="C47" i="37" s="1"/>
  <c r="C48" i="37" s="1"/>
  <c r="C49" i="37" s="1"/>
  <c r="C50" i="37" s="1"/>
  <c r="C51" i="37" s="1"/>
  <c r="C52" i="37" s="1"/>
  <c r="C53" i="37" s="1"/>
  <c r="C54" i="37" s="1"/>
  <c r="C55" i="37" s="1"/>
  <c r="C56" i="37" s="1"/>
  <c r="C57" i="37" s="1"/>
  <c r="C58" i="37" s="1"/>
  <c r="C59" i="37" s="1"/>
  <c r="C60" i="37" s="1"/>
  <c r="C61" i="37" s="1"/>
  <c r="C62" i="37" s="1"/>
  <c r="C63" i="37" s="1"/>
  <c r="C64" i="37" s="1"/>
  <c r="C65" i="37" s="1"/>
  <c r="C66" i="37" s="1"/>
  <c r="C67" i="37" s="1"/>
  <c r="C68" i="37" s="1"/>
  <c r="C69" i="37" s="1"/>
  <c r="C70" i="37" s="1"/>
  <c r="C71" i="37" s="1"/>
  <c r="C72" i="37" s="1"/>
  <c r="C45" i="1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45" i="7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45" i="40"/>
  <c r="C46" i="40" s="1"/>
  <c r="C47" i="40" s="1"/>
  <c r="C48" i="40" s="1"/>
  <c r="C49" i="40" s="1"/>
  <c r="C50" i="40" s="1"/>
  <c r="C51" i="40" s="1"/>
  <c r="C52" i="40" s="1"/>
  <c r="C53" i="40" s="1"/>
  <c r="C54" i="40" s="1"/>
  <c r="C55" i="40" s="1"/>
  <c r="C56" i="40" s="1"/>
  <c r="C57" i="40" s="1"/>
  <c r="C58" i="40" s="1"/>
  <c r="C59" i="40" s="1"/>
  <c r="C60" i="40" s="1"/>
  <c r="C61" i="40" s="1"/>
  <c r="C62" i="40" s="1"/>
  <c r="C63" i="40" s="1"/>
  <c r="C64" i="40" s="1"/>
  <c r="C65" i="40" s="1"/>
  <c r="C66" i="40" s="1"/>
  <c r="C67" i="40" s="1"/>
  <c r="C68" i="40" s="1"/>
  <c r="C69" i="40" s="1"/>
  <c r="C70" i="40" s="1"/>
  <c r="C71" i="40" s="1"/>
  <c r="C72" i="40" s="1"/>
  <c r="N87" i="41"/>
  <c r="C45" i="41"/>
  <c r="C46" i="41" s="1"/>
  <c r="C47" i="41" s="1"/>
  <c r="C48" i="41" s="1"/>
  <c r="C49" i="41" s="1"/>
  <c r="C50" i="41" s="1"/>
  <c r="C51" i="41" s="1"/>
  <c r="C52" i="41" s="1"/>
  <c r="C53" i="41" s="1"/>
  <c r="C54" i="41" s="1"/>
  <c r="C55" i="41" s="1"/>
  <c r="C56" i="41" s="1"/>
  <c r="C57" i="41" s="1"/>
  <c r="C58" i="41" s="1"/>
  <c r="C59" i="41" s="1"/>
  <c r="C60" i="41" s="1"/>
  <c r="C61" i="41" s="1"/>
  <c r="C62" i="41" s="1"/>
  <c r="C63" i="41" s="1"/>
  <c r="C64" i="41" s="1"/>
  <c r="C65" i="41" s="1"/>
  <c r="C66" i="41" s="1"/>
  <c r="C67" i="41" s="1"/>
  <c r="C68" i="41" s="1"/>
  <c r="C69" i="41" s="1"/>
  <c r="C70" i="41" s="1"/>
  <c r="C71" i="41" s="1"/>
  <c r="C72" i="41" s="1"/>
  <c r="M87" i="41"/>
  <c r="B18" i="46"/>
  <c r="C45" i="42"/>
  <c r="C46" i="42" s="1"/>
  <c r="C47" i="42" s="1"/>
  <c r="C48" i="42" s="1"/>
  <c r="C49" i="42" s="1"/>
  <c r="C50" i="42" s="1"/>
  <c r="C51" i="42" s="1"/>
  <c r="C52" i="42" s="1"/>
  <c r="C53" i="42" s="1"/>
  <c r="C54" i="42" s="1"/>
  <c r="C55" i="42" s="1"/>
  <c r="C56" i="42" s="1"/>
  <c r="C57" i="42" s="1"/>
  <c r="C58" i="42" s="1"/>
  <c r="C59" i="42" s="1"/>
  <c r="C60" i="42" s="1"/>
  <c r="C61" i="42" s="1"/>
  <c r="C62" i="42" s="1"/>
  <c r="C63" i="42" s="1"/>
  <c r="C64" i="42" s="1"/>
  <c r="C65" i="42" s="1"/>
  <c r="C66" i="42" s="1"/>
  <c r="C67" i="42" s="1"/>
  <c r="C68" i="42" s="1"/>
  <c r="C69" i="42" s="1"/>
  <c r="C70" i="42" s="1"/>
  <c r="C71" i="42" s="1"/>
  <c r="C72" i="42" s="1"/>
  <c r="D94" i="11"/>
  <c r="C99" i="4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B30" i="10"/>
  <c r="D93" i="29"/>
  <c r="C45" i="22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C45" i="10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B24" i="24"/>
  <c r="B18" i="42"/>
  <c r="D94" i="9"/>
  <c r="D93" i="9"/>
  <c r="D94" i="8"/>
  <c r="D93" i="8"/>
  <c r="D93" i="7"/>
  <c r="D94" i="7"/>
  <c r="O18" i="24"/>
  <c r="O19" i="8"/>
  <c r="B28" i="8"/>
  <c r="B26" i="22"/>
  <c r="O59" i="3"/>
  <c r="O49" i="3"/>
  <c r="O49" i="4"/>
  <c r="O20" i="3"/>
  <c r="P99" i="9"/>
  <c r="O39" i="9"/>
  <c r="O70" i="10"/>
  <c r="O64" i="10"/>
  <c r="O18" i="11"/>
  <c r="O67" i="13"/>
  <c r="O17" i="13"/>
  <c r="O63" i="22"/>
  <c r="O45" i="22"/>
  <c r="P100" i="8"/>
  <c r="O47" i="7"/>
  <c r="O18" i="7"/>
  <c r="P100" i="9"/>
  <c r="P100" i="10"/>
  <c r="O48" i="10"/>
  <c r="O66" i="11"/>
  <c r="O53" i="11"/>
  <c r="O46" i="11"/>
  <c r="O35" i="11"/>
  <c r="O29" i="11"/>
  <c r="O57" i="22"/>
  <c r="P124" i="6"/>
  <c r="P118" i="6"/>
  <c r="O17" i="22"/>
  <c r="O21" i="6"/>
  <c r="P112" i="5"/>
  <c r="P110" i="5"/>
  <c r="P153" i="6"/>
  <c r="P151" i="6"/>
  <c r="P149" i="6"/>
  <c r="P143" i="6"/>
  <c r="P137" i="6"/>
  <c r="P117" i="6"/>
  <c r="P115" i="6"/>
  <c r="P113" i="6"/>
  <c r="P111" i="6"/>
  <c r="P151" i="8"/>
  <c r="P147" i="8"/>
  <c r="P145" i="8"/>
  <c r="P141" i="8"/>
  <c r="P139" i="8"/>
  <c r="P133" i="8"/>
  <c r="P131" i="8"/>
  <c r="P154" i="10"/>
  <c r="P150" i="10"/>
  <c r="P148" i="10"/>
  <c r="P144" i="10"/>
  <c r="P142" i="10"/>
  <c r="P140" i="10"/>
  <c r="P136" i="10"/>
  <c r="P118" i="10"/>
  <c r="P129" i="11"/>
  <c r="P117" i="11"/>
  <c r="P119" i="13"/>
  <c r="P109" i="13"/>
  <c r="P101" i="13"/>
  <c r="P127" i="23"/>
  <c r="P119" i="23"/>
  <c r="P107" i="23"/>
  <c r="O44" i="23"/>
  <c r="O58" i="24"/>
  <c r="O21" i="8"/>
  <c r="O22" i="9"/>
  <c r="O23" i="10"/>
  <c r="O31" i="27"/>
  <c r="O48" i="27"/>
  <c r="O69" i="27"/>
  <c r="P154" i="7"/>
  <c r="P152" i="7"/>
  <c r="P146" i="7"/>
  <c r="P144" i="7"/>
  <c r="P142" i="7"/>
  <c r="P140" i="7"/>
  <c r="P136" i="7"/>
  <c r="P124" i="7"/>
  <c r="P116" i="7"/>
  <c r="P122" i="23"/>
  <c r="P118" i="23"/>
  <c r="P110" i="23"/>
  <c r="O49" i="23"/>
  <c r="O26" i="23"/>
  <c r="O68" i="24"/>
  <c r="O45" i="24"/>
  <c r="O43" i="24"/>
  <c r="O67" i="25"/>
  <c r="O46" i="25"/>
  <c r="O22" i="11"/>
  <c r="O19" i="22"/>
  <c r="I12" i="46"/>
  <c r="I12" i="45"/>
  <c r="I12" i="43"/>
  <c r="I13" i="43" s="1"/>
  <c r="P114" i="27"/>
  <c r="P116" i="27"/>
  <c r="P120" i="27"/>
  <c r="P126" i="27"/>
  <c r="P128" i="27"/>
  <c r="P130" i="27"/>
  <c r="O23" i="11"/>
  <c r="P104" i="6"/>
  <c r="O19" i="24"/>
  <c r="O21" i="25"/>
  <c r="O18" i="29"/>
  <c r="O17" i="30"/>
  <c r="O42" i="37"/>
  <c r="P100" i="28"/>
  <c r="I12" i="44"/>
  <c r="J94" i="46"/>
  <c r="J95" i="46" s="1"/>
  <c r="J94" i="45"/>
  <c r="J95" i="45" s="1"/>
  <c r="J94" i="44"/>
  <c r="J95" i="44" s="1"/>
  <c r="O19" i="23"/>
  <c r="P103" i="25"/>
  <c r="O39" i="37"/>
  <c r="P109" i="28"/>
  <c r="P113" i="28"/>
  <c r="P119" i="28"/>
  <c r="P125" i="28"/>
  <c r="P113" i="29"/>
  <c r="P119" i="29"/>
  <c r="P121" i="29"/>
  <c r="P108" i="10"/>
  <c r="O22" i="23"/>
  <c r="O21" i="24"/>
  <c r="O19" i="28"/>
  <c r="O18" i="30"/>
  <c r="P100" i="31"/>
  <c r="O42" i="41"/>
  <c r="O54" i="41"/>
  <c r="P106" i="3"/>
  <c r="O28" i="7"/>
  <c r="O26" i="8"/>
  <c r="O68" i="40"/>
  <c r="P105" i="3"/>
  <c r="O25" i="6"/>
  <c r="O25" i="8"/>
  <c r="P107" i="9"/>
  <c r="P104" i="22"/>
  <c r="O20" i="27"/>
  <c r="P100" i="29"/>
  <c r="O62" i="41"/>
  <c r="O66" i="41"/>
  <c r="O18" i="42"/>
  <c r="P107" i="6"/>
  <c r="O25" i="25"/>
  <c r="P112" i="28"/>
  <c r="P122" i="28"/>
  <c r="O37" i="38"/>
  <c r="O57" i="38"/>
  <c r="O29" i="42"/>
  <c r="O27" i="6"/>
  <c r="P101" i="30"/>
  <c r="P108" i="6"/>
  <c r="P110" i="7"/>
  <c r="P109" i="11"/>
  <c r="O21" i="31"/>
  <c r="O33" i="43"/>
  <c r="O18" i="44"/>
  <c r="P128" i="38"/>
  <c r="P130" i="38"/>
  <c r="P101" i="41"/>
  <c r="P127" i="41"/>
  <c r="P101" i="42"/>
  <c r="P113" i="42"/>
  <c r="P119" i="42"/>
  <c r="P123" i="42"/>
  <c r="P105" i="25"/>
  <c r="P101" i="28"/>
  <c r="P107" i="4"/>
  <c r="P109" i="9"/>
  <c r="P105" i="23"/>
  <c r="O21" i="29"/>
  <c r="P106" i="43"/>
  <c r="P112" i="43"/>
  <c r="P116" i="43"/>
  <c r="P122" i="43"/>
  <c r="O28" i="44"/>
  <c r="O50" i="44"/>
  <c r="O60" i="44"/>
  <c r="O67" i="44"/>
  <c r="O61" i="45"/>
  <c r="O23" i="46"/>
  <c r="O37" i="46"/>
  <c r="O29" i="44"/>
  <c r="O64" i="44"/>
  <c r="O65" i="45"/>
  <c r="O31" i="46"/>
  <c r="C18" i="45"/>
  <c r="C19" i="45" s="1"/>
  <c r="C20" i="45" s="1"/>
  <c r="C21" i="45" s="1"/>
  <c r="C22" i="45" s="1"/>
  <c r="C23" i="45" s="1"/>
  <c r="C24" i="45" s="1"/>
  <c r="C25" i="45" s="1"/>
  <c r="C26" i="45" s="1"/>
  <c r="C27" i="45" s="1"/>
  <c r="C28" i="45" s="1"/>
  <c r="C29" i="45" s="1"/>
  <c r="C30" i="45" s="1"/>
  <c r="C31" i="45" s="1"/>
  <c r="C32" i="45" s="1"/>
  <c r="C33" i="45" s="1"/>
  <c r="C34" i="45" s="1"/>
  <c r="C35" i="45" s="1"/>
  <c r="C36" i="45" s="1"/>
  <c r="C37" i="45" s="1"/>
  <c r="C38" i="45" s="1"/>
  <c r="C39" i="45" s="1"/>
  <c r="C40" i="45" s="1"/>
  <c r="C41" i="45" s="1"/>
  <c r="C42" i="45" s="1"/>
  <c r="C43" i="45" s="1"/>
  <c r="C44" i="45" s="1"/>
  <c r="P123" i="46"/>
  <c r="P122" i="45"/>
  <c r="P125" i="46"/>
  <c r="P120" i="28"/>
  <c r="P124" i="43"/>
  <c r="P114" i="45"/>
  <c r="P116" i="45"/>
  <c r="P118" i="45"/>
  <c r="P120" i="45"/>
  <c r="P128" i="45"/>
  <c r="P118" i="3"/>
  <c r="P148" i="6"/>
  <c r="P140" i="6"/>
  <c r="P112" i="7"/>
  <c r="P130" i="9"/>
  <c r="P126" i="9"/>
  <c r="P124" i="9"/>
  <c r="P120" i="9"/>
  <c r="P116" i="9"/>
  <c r="P114" i="9"/>
  <c r="P112" i="9"/>
  <c r="P124" i="22"/>
  <c r="P122" i="22"/>
  <c r="P130" i="28"/>
  <c r="P115" i="44"/>
  <c r="P119" i="44"/>
  <c r="P121" i="44"/>
  <c r="P123" i="44"/>
  <c r="P127" i="44"/>
  <c r="P129" i="44"/>
  <c r="P123" i="28"/>
  <c r="P127" i="28"/>
  <c r="P122" i="29"/>
  <c r="P124" i="29"/>
  <c r="P126" i="29"/>
  <c r="P130" i="29"/>
  <c r="P107" i="30"/>
  <c r="P109" i="30"/>
  <c r="P113" i="30"/>
  <c r="P117" i="30"/>
  <c r="P119" i="30"/>
  <c r="P123" i="30"/>
  <c r="P125" i="30"/>
  <c r="P127" i="30"/>
  <c r="P129" i="30"/>
  <c r="P105" i="31"/>
  <c r="P107" i="31"/>
  <c r="P109" i="31"/>
  <c r="P119" i="43"/>
  <c r="P123" i="43"/>
  <c r="P149" i="3"/>
  <c r="P130" i="46"/>
  <c r="P147" i="3"/>
  <c r="P145" i="3"/>
  <c r="P143" i="3"/>
  <c r="P135" i="3"/>
  <c r="P133" i="3"/>
  <c r="P131" i="3"/>
  <c r="P127" i="3"/>
  <c r="P125" i="3"/>
  <c r="P121" i="3"/>
  <c r="P117" i="3"/>
  <c r="P115" i="3"/>
  <c r="P154" i="4"/>
  <c r="P152" i="4"/>
  <c r="P150" i="4"/>
  <c r="P148" i="4"/>
  <c r="P130" i="4"/>
  <c r="P122" i="4"/>
  <c r="P118" i="4"/>
  <c r="P116" i="4"/>
  <c r="P114" i="4"/>
  <c r="P112" i="4"/>
  <c r="P110" i="4"/>
  <c r="P142" i="5"/>
  <c r="P140" i="5"/>
  <c r="P136" i="5"/>
  <c r="P130" i="5"/>
  <c r="P148" i="7"/>
  <c r="P153" i="8"/>
  <c r="P130" i="10"/>
  <c r="P116" i="10"/>
  <c r="P127" i="11"/>
  <c r="P119" i="11"/>
  <c r="P115" i="11"/>
  <c r="P111" i="13"/>
  <c r="P103" i="13"/>
  <c r="P116" i="22"/>
  <c r="P114" i="22"/>
  <c r="P110" i="22"/>
  <c r="P116" i="23"/>
  <c r="P110" i="28"/>
  <c r="P103" i="41"/>
  <c r="P105" i="41"/>
  <c r="P107" i="41"/>
  <c r="P111" i="41"/>
  <c r="P113" i="41"/>
  <c r="P125" i="41"/>
  <c r="P129" i="41"/>
  <c r="P105" i="42"/>
  <c r="P121" i="42"/>
  <c r="P127" i="42"/>
  <c r="P104" i="43"/>
  <c r="P114" i="43"/>
  <c r="P118" i="43"/>
  <c r="P127" i="43"/>
  <c r="P99" i="44"/>
  <c r="P100" i="44"/>
  <c r="P102" i="44"/>
  <c r="P103" i="44"/>
  <c r="P104" i="44"/>
  <c r="P106" i="44"/>
  <c r="P108" i="44"/>
  <c r="P110" i="44"/>
  <c r="P112" i="44"/>
  <c r="P114" i="44"/>
  <c r="P116" i="44"/>
  <c r="P120" i="44"/>
  <c r="P128" i="44"/>
  <c r="P130" i="44"/>
  <c r="P106" i="46"/>
  <c r="P108" i="46"/>
  <c r="P120" i="46"/>
  <c r="P126" i="46"/>
  <c r="P145" i="4"/>
  <c r="P123" i="7"/>
  <c r="P121" i="7"/>
  <c r="P119" i="7"/>
  <c r="P113" i="7"/>
  <c r="P154" i="8"/>
  <c r="P150" i="8"/>
  <c r="P146" i="8"/>
  <c r="P144" i="8"/>
  <c r="P142" i="8"/>
  <c r="P121" i="9"/>
  <c r="P119" i="9"/>
  <c r="P115" i="9"/>
  <c r="P111" i="9"/>
  <c r="P107" i="39"/>
  <c r="P123" i="39"/>
  <c r="P127" i="39"/>
  <c r="P120" i="41"/>
  <c r="P124" i="41"/>
  <c r="P126" i="41"/>
  <c r="P128" i="41"/>
  <c r="P130" i="41"/>
  <c r="P106" i="42"/>
  <c r="P108" i="42"/>
  <c r="P110" i="42"/>
  <c r="P118" i="42"/>
  <c r="P120" i="42"/>
  <c r="P122" i="42"/>
  <c r="P99" i="46"/>
  <c r="P117" i="46"/>
  <c r="P147" i="4"/>
  <c r="P147" i="6"/>
  <c r="P145" i="6"/>
  <c r="P141" i="6"/>
  <c r="P139" i="6"/>
  <c r="P135" i="6"/>
  <c r="P133" i="6"/>
  <c r="P131" i="6"/>
  <c r="P129" i="6"/>
  <c r="P127" i="6"/>
  <c r="P125" i="6"/>
  <c r="P123" i="6"/>
  <c r="P121" i="6"/>
  <c r="P145" i="10"/>
  <c r="P112" i="22"/>
  <c r="P111" i="31"/>
  <c r="P117" i="31"/>
  <c r="P119" i="31"/>
  <c r="P121" i="31"/>
  <c r="P129" i="31"/>
  <c r="P104" i="38"/>
  <c r="P126" i="38"/>
  <c r="P110" i="39"/>
  <c r="P112" i="39"/>
  <c r="P116" i="39"/>
  <c r="P115" i="42"/>
  <c r="P117" i="42"/>
  <c r="P109" i="46"/>
  <c r="P152" i="3"/>
  <c r="P116" i="3"/>
  <c r="P114" i="3"/>
  <c r="P137" i="4"/>
  <c r="P141" i="5"/>
  <c r="P149" i="8"/>
  <c r="P127" i="9"/>
  <c r="P121" i="22"/>
  <c r="P129" i="23"/>
  <c r="P125" i="23"/>
  <c r="P123" i="23"/>
  <c r="P121" i="23"/>
  <c r="P113" i="23"/>
  <c r="P108" i="27"/>
  <c r="P152" i="5"/>
  <c r="P148" i="5"/>
  <c r="P138" i="5"/>
  <c r="P134" i="5"/>
  <c r="P132" i="5"/>
  <c r="P127" i="5"/>
  <c r="P121" i="5"/>
  <c r="P119" i="5"/>
  <c r="P115" i="5"/>
  <c r="P152" i="6"/>
  <c r="P153" i="7"/>
  <c r="P143" i="7"/>
  <c r="P139" i="7"/>
  <c r="P125" i="7"/>
  <c r="P120" i="7"/>
  <c r="P118" i="7"/>
  <c r="P152" i="8"/>
  <c r="P148" i="8"/>
  <c r="P140" i="8"/>
  <c r="P129" i="8"/>
  <c r="P115" i="8"/>
  <c r="P128" i="9"/>
  <c r="P122" i="9"/>
  <c r="P146" i="10"/>
  <c r="P128" i="22"/>
  <c r="P120" i="22"/>
  <c r="P118" i="22"/>
  <c r="P101" i="38"/>
  <c r="P103" i="38"/>
  <c r="P105" i="38"/>
  <c r="P127" i="38"/>
  <c r="P129" i="38"/>
  <c r="P101" i="39"/>
  <c r="P111" i="39"/>
  <c r="P117" i="39"/>
  <c r="P119" i="39"/>
  <c r="P121" i="39"/>
  <c r="P125" i="39"/>
  <c r="P129" i="39"/>
  <c r="P108" i="40"/>
  <c r="P110" i="40"/>
  <c r="P112" i="40"/>
  <c r="P114" i="40"/>
  <c r="P116" i="40"/>
  <c r="P118" i="40"/>
  <c r="P122" i="40"/>
  <c r="P115" i="41"/>
  <c r="P117" i="41"/>
  <c r="P119" i="45"/>
  <c r="M87" i="9"/>
  <c r="F48" i="2"/>
  <c r="F52" i="2" s="1"/>
  <c r="P120" i="6"/>
  <c r="P127" i="8"/>
  <c r="P123" i="8"/>
  <c r="P121" i="8"/>
  <c r="P117" i="8"/>
  <c r="P113" i="8"/>
  <c r="P138" i="10"/>
  <c r="P123" i="11"/>
  <c r="P121" i="11"/>
  <c r="P129" i="13"/>
  <c r="P127" i="13"/>
  <c r="P115" i="13"/>
  <c r="P107" i="13"/>
  <c r="P105" i="13"/>
  <c r="P99" i="13"/>
  <c r="P113" i="22"/>
  <c r="P111" i="22"/>
  <c r="P109" i="22"/>
  <c r="P114" i="23"/>
  <c r="P125" i="38"/>
  <c r="P113" i="39"/>
  <c r="P109" i="45"/>
  <c r="P113" i="45"/>
  <c r="P121" i="45"/>
  <c r="P123" i="45"/>
  <c r="P125" i="45"/>
  <c r="P127" i="45"/>
  <c r="P153" i="3"/>
  <c r="P151" i="3"/>
  <c r="P141" i="3"/>
  <c r="P139" i="3"/>
  <c r="P129" i="3"/>
  <c r="P123" i="3"/>
  <c r="P119" i="3"/>
  <c r="P146" i="4"/>
  <c r="P138" i="4"/>
  <c r="P134" i="4"/>
  <c r="P128" i="4"/>
  <c r="P126" i="4"/>
  <c r="P120" i="4"/>
  <c r="P135" i="7"/>
  <c r="P147" i="10"/>
  <c r="P141" i="10"/>
  <c r="P139" i="10"/>
  <c r="J94" i="43"/>
  <c r="J94" i="13"/>
  <c r="J94" i="30"/>
  <c r="J95" i="30" s="1"/>
  <c r="J94" i="27"/>
  <c r="J95" i="27" s="1"/>
  <c r="J94" i="8"/>
  <c r="J95" i="8" s="1"/>
  <c r="J94" i="3"/>
  <c r="J95" i="3" s="1"/>
  <c r="J94" i="38"/>
  <c r="J94" i="25"/>
  <c r="J95" i="25" s="1"/>
  <c r="J94" i="28"/>
  <c r="J95" i="28" s="1"/>
  <c r="J94" i="7"/>
  <c r="J95" i="7" s="1"/>
  <c r="J94" i="9"/>
  <c r="J94" i="4"/>
  <c r="J95" i="4" s="1"/>
  <c r="J94" i="6"/>
  <c r="J95" i="6" s="1"/>
  <c r="J94" i="11"/>
  <c r="J95" i="11" s="1"/>
  <c r="P114" i="29"/>
  <c r="P110" i="30"/>
  <c r="P114" i="31"/>
  <c r="P100" i="43"/>
  <c r="P108" i="43"/>
  <c r="P108" i="45"/>
  <c r="P144" i="5"/>
  <c r="P108" i="23"/>
  <c r="P129" i="24"/>
  <c r="P128" i="29"/>
  <c r="P105" i="30"/>
  <c r="P123" i="37"/>
  <c r="P103" i="40"/>
  <c r="P107" i="40"/>
  <c r="P115" i="40"/>
  <c r="P117" i="40"/>
  <c r="P108" i="41"/>
  <c r="P124" i="42"/>
  <c r="P101" i="43"/>
  <c r="P103" i="43"/>
  <c r="P107" i="43"/>
  <c r="P109" i="43"/>
  <c r="P128" i="43"/>
  <c r="P124" i="44"/>
  <c r="P126" i="44"/>
  <c r="P100" i="45"/>
  <c r="P102" i="45"/>
  <c r="P104" i="45"/>
  <c r="P106" i="45"/>
  <c r="P105" i="46"/>
  <c r="P107" i="46"/>
  <c r="P113" i="46"/>
  <c r="P115" i="46"/>
  <c r="P149" i="5"/>
  <c r="P133" i="5"/>
  <c r="P129" i="5"/>
  <c r="P124" i="5"/>
  <c r="P110" i="6"/>
  <c r="P143" i="8"/>
  <c r="P129" i="9"/>
  <c r="P153" i="10"/>
  <c r="P151" i="10"/>
  <c r="P149" i="10"/>
  <c r="P134" i="10"/>
  <c r="P126" i="10"/>
  <c r="P125" i="11"/>
  <c r="P124" i="13"/>
  <c r="P122" i="13"/>
  <c r="P127" i="22"/>
  <c r="P123" i="22"/>
  <c r="P108" i="22"/>
  <c r="P126" i="23"/>
  <c r="P128" i="24"/>
  <c r="P124" i="24"/>
  <c r="P120" i="24"/>
  <c r="P118" i="24"/>
  <c r="P116" i="24"/>
  <c r="P105" i="29"/>
  <c r="P107" i="29"/>
  <c r="P109" i="29"/>
  <c r="P115" i="29"/>
  <c r="P106" i="30"/>
  <c r="P123" i="31"/>
  <c r="P106" i="37"/>
  <c r="P116" i="37"/>
  <c r="P120" i="38"/>
  <c r="P107" i="42"/>
  <c r="P129" i="42"/>
  <c r="P129" i="43"/>
  <c r="P103" i="45"/>
  <c r="P107" i="45"/>
  <c r="P116" i="46"/>
  <c r="P143" i="4"/>
  <c r="P108" i="31"/>
  <c r="P130" i="6"/>
  <c r="P106" i="24"/>
  <c r="P105" i="44"/>
  <c r="P112" i="45"/>
  <c r="P142" i="4"/>
  <c r="P132" i="4"/>
  <c r="P154" i="5"/>
  <c r="P125" i="29"/>
  <c r="P124" i="40"/>
  <c r="P130" i="40"/>
  <c r="P143" i="5"/>
  <c r="P122" i="5"/>
  <c r="P109" i="5"/>
  <c r="P134" i="7"/>
  <c r="P130" i="7"/>
  <c r="P125" i="8"/>
  <c r="P114" i="8"/>
  <c r="P143" i="10"/>
  <c r="P132" i="10"/>
  <c r="P128" i="10"/>
  <c r="P123" i="13"/>
  <c r="P121" i="13"/>
  <c r="P117" i="13"/>
  <c r="P130" i="23"/>
  <c r="P128" i="23"/>
  <c r="P124" i="23"/>
  <c r="P107" i="24"/>
  <c r="P123" i="29"/>
  <c r="P127" i="29"/>
  <c r="P111" i="30"/>
  <c r="P115" i="30"/>
  <c r="P110" i="31"/>
  <c r="P112" i="31"/>
  <c r="P125" i="31"/>
  <c r="P127" i="31"/>
  <c r="P112" i="37"/>
  <c r="P109" i="39"/>
  <c r="P119" i="40"/>
  <c r="P123" i="40"/>
  <c r="P126" i="40"/>
  <c r="P109" i="41"/>
  <c r="P103" i="42"/>
  <c r="P112" i="42"/>
  <c r="P116" i="42"/>
  <c r="P105" i="43"/>
  <c r="P113" i="44"/>
  <c r="P110" i="45"/>
  <c r="P117" i="45"/>
  <c r="P124" i="45"/>
  <c r="P103" i="46"/>
  <c r="P110" i="46"/>
  <c r="P112" i="46"/>
  <c r="P119" i="46"/>
  <c r="P121" i="46"/>
  <c r="P150" i="5"/>
  <c r="P115" i="7"/>
  <c r="P110" i="24"/>
  <c r="F88" i="2"/>
  <c r="F89" i="2" s="1"/>
  <c r="P117" i="27"/>
  <c r="P104" i="30"/>
  <c r="P121" i="30"/>
  <c r="P113" i="43"/>
  <c r="P117" i="43"/>
  <c r="P117" i="44"/>
  <c r="P105" i="45"/>
  <c r="P111" i="45"/>
  <c r="P114" i="46"/>
  <c r="P127" i="46"/>
  <c r="P151" i="5"/>
  <c r="P146" i="5"/>
  <c r="P137" i="5"/>
  <c r="P135" i="5"/>
  <c r="P125" i="5"/>
  <c r="P142" i="6"/>
  <c r="P128" i="6"/>
  <c r="P119" i="6"/>
  <c r="P151" i="7"/>
  <c r="P147" i="7"/>
  <c r="P131" i="7"/>
  <c r="P127" i="7"/>
  <c r="P135" i="8"/>
  <c r="P119" i="8"/>
  <c r="P111" i="8"/>
  <c r="P117" i="9"/>
  <c r="P135" i="10"/>
  <c r="P133" i="10"/>
  <c r="P112" i="10"/>
  <c r="P130" i="22"/>
  <c r="P111" i="23"/>
  <c r="P130" i="24"/>
  <c r="P127" i="24"/>
  <c r="P123" i="24"/>
  <c r="P121" i="24"/>
  <c r="P106" i="27"/>
  <c r="P110" i="27"/>
  <c r="P115" i="28"/>
  <c r="P103" i="30"/>
  <c r="P114" i="30"/>
  <c r="P122" i="30"/>
  <c r="P130" i="30"/>
  <c r="P113" i="31"/>
  <c r="P122" i="31"/>
  <c r="P117" i="37"/>
  <c r="P121" i="37"/>
  <c r="P127" i="37"/>
  <c r="P115" i="38"/>
  <c r="P121" i="38"/>
  <c r="P125" i="40"/>
  <c r="P119" i="41"/>
  <c r="P123" i="41"/>
  <c r="P125" i="43"/>
  <c r="P99" i="45"/>
  <c r="P115" i="45"/>
  <c r="P129" i="45"/>
  <c r="P102" i="46"/>
  <c r="P104" i="46"/>
  <c r="P111" i="46"/>
  <c r="P118" i="46"/>
  <c r="P122" i="46"/>
  <c r="P128" i="46"/>
  <c r="P126" i="6"/>
  <c r="P129" i="7"/>
  <c r="P123" i="9"/>
  <c r="P131" i="10"/>
  <c r="P120" i="23"/>
  <c r="P123" i="27"/>
  <c r="P121" i="28"/>
  <c r="P108" i="39"/>
  <c r="P126" i="43"/>
  <c r="P122" i="10"/>
  <c r="P120" i="10"/>
  <c r="P113" i="10"/>
  <c r="P118" i="13"/>
  <c r="P113" i="13"/>
  <c r="P104" i="29"/>
  <c r="P111" i="42"/>
  <c r="P116" i="11"/>
  <c r="P111" i="11"/>
  <c r="P115" i="23"/>
  <c r="P112" i="23"/>
  <c r="P107" i="28"/>
  <c r="P129" i="28"/>
  <c r="P108" i="30"/>
  <c r="P110" i="38"/>
  <c r="P120" i="43"/>
  <c r="P130" i="43"/>
  <c r="P118" i="44"/>
  <c r="C28" i="17"/>
  <c r="C29" i="17"/>
  <c r="D43" i="17"/>
  <c r="D32" i="17"/>
  <c r="C18" i="17"/>
  <c r="D26" i="17"/>
  <c r="C30" i="17"/>
  <c r="D50" i="17"/>
  <c r="C26" i="17"/>
  <c r="C32" i="17"/>
  <c r="C45" i="17"/>
  <c r="D19" i="17"/>
  <c r="D45" i="17"/>
  <c r="C49" i="17"/>
  <c r="C23" i="17"/>
  <c r="C46" i="17"/>
  <c r="D36" i="17"/>
  <c r="C50" i="17"/>
  <c r="C47" i="17"/>
  <c r="C33" i="17"/>
  <c r="C19" i="17"/>
  <c r="C35" i="17"/>
  <c r="D40" i="17"/>
  <c r="D47" i="17"/>
  <c r="D48" i="17"/>
  <c r="C38" i="17"/>
  <c r="C36" i="17"/>
  <c r="C48" i="17"/>
  <c r="C27" i="17"/>
  <c r="D37" i="17"/>
  <c r="C39" i="17"/>
  <c r="C37" i="17"/>
  <c r="C44" i="17"/>
  <c r="C20" i="17"/>
  <c r="D20" i="17"/>
  <c r="D44" i="17"/>
  <c r="D29" i="17"/>
  <c r="D46" i="17"/>
  <c r="D49" i="17"/>
  <c r="M87" i="10" l="1"/>
  <c r="L86" i="10"/>
  <c r="N87" i="37"/>
  <c r="L86" i="54"/>
  <c r="M87" i="54"/>
  <c r="N87" i="54"/>
  <c r="N88" i="54"/>
  <c r="N88" i="47"/>
  <c r="O88" i="47" s="1"/>
  <c r="M88" i="47"/>
  <c r="L86" i="55"/>
  <c r="N87" i="55"/>
  <c r="M87" i="55"/>
  <c r="N88" i="55"/>
  <c r="D13" i="54"/>
  <c r="I14" i="54" s="1"/>
  <c r="D13" i="55"/>
  <c r="I14" i="55" s="1"/>
  <c r="I13" i="54"/>
  <c r="I13" i="55"/>
  <c r="G17" i="55"/>
  <c r="N5" i="55" s="1"/>
  <c r="D102" i="55"/>
  <c r="G101" i="55"/>
  <c r="J100" i="55"/>
  <c r="B100" i="54"/>
  <c r="E100" i="54"/>
  <c r="F100" i="54" s="1"/>
  <c r="H99" i="54"/>
  <c r="I99" i="54"/>
  <c r="C100" i="3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M87" i="5"/>
  <c r="M87" i="40"/>
  <c r="F20" i="2"/>
  <c r="E25" i="2" s="1"/>
  <c r="E26" i="2" s="1"/>
  <c r="E30" i="2" s="1"/>
  <c r="L86" i="28"/>
  <c r="N87" i="4"/>
  <c r="N87" i="11"/>
  <c r="O87" i="11" s="1"/>
  <c r="N87" i="28"/>
  <c r="O87" i="28" s="1"/>
  <c r="N87" i="23"/>
  <c r="O87" i="23" s="1"/>
  <c r="N87" i="3"/>
  <c r="O87" i="3" s="1"/>
  <c r="N87" i="42"/>
  <c r="L86" i="45"/>
  <c r="J95" i="48"/>
  <c r="L99" i="48"/>
  <c r="M99" i="48" s="1"/>
  <c r="N87" i="13"/>
  <c r="J95" i="49"/>
  <c r="L99" i="49"/>
  <c r="M99" i="49" s="1"/>
  <c r="J95" i="9"/>
  <c r="H17" i="13"/>
  <c r="I13" i="49"/>
  <c r="D102" i="48"/>
  <c r="G101" i="48"/>
  <c r="E101" i="49"/>
  <c r="F101" i="49" s="1"/>
  <c r="H100" i="49"/>
  <c r="D13" i="48"/>
  <c r="I14" i="48" s="1"/>
  <c r="D13" i="47"/>
  <c r="I14" i="47" s="1"/>
  <c r="D13" i="49"/>
  <c r="I14" i="49" s="1"/>
  <c r="N87" i="25"/>
  <c r="O87" i="25" s="1"/>
  <c r="L86" i="25"/>
  <c r="N87" i="47"/>
  <c r="L86" i="47"/>
  <c r="M87" i="47"/>
  <c r="N88" i="49"/>
  <c r="L86" i="49"/>
  <c r="N87" i="49"/>
  <c r="M88" i="49"/>
  <c r="M87" i="49"/>
  <c r="M88" i="48"/>
  <c r="L86" i="48"/>
  <c r="D13" i="27"/>
  <c r="I14" i="27" s="1"/>
  <c r="E19" i="27" s="1"/>
  <c r="D13" i="29"/>
  <c r="I14" i="29" s="1"/>
  <c r="D13" i="45"/>
  <c r="I14" i="45" s="1"/>
  <c r="D13" i="28"/>
  <c r="I14" i="28" s="1"/>
  <c r="D13" i="23"/>
  <c r="I14" i="23" s="1"/>
  <c r="D13" i="4"/>
  <c r="I14" i="4" s="1"/>
  <c r="D13" i="9"/>
  <c r="I14" i="9" s="1"/>
  <c r="D13" i="22"/>
  <c r="I14" i="22" s="1"/>
  <c r="F20" i="1"/>
  <c r="E32" i="1" s="1"/>
  <c r="D13" i="41"/>
  <c r="I14" i="41" s="1"/>
  <c r="D13" i="24"/>
  <c r="I14" i="24" s="1"/>
  <c r="D13" i="13"/>
  <c r="D13" i="8"/>
  <c r="I14" i="8" s="1"/>
  <c r="D13" i="46"/>
  <c r="I14" i="46" s="1"/>
  <c r="D13" i="25"/>
  <c r="I14" i="25" s="1"/>
  <c r="D13" i="40"/>
  <c r="I14" i="40" s="1"/>
  <c r="D13" i="42"/>
  <c r="I14" i="42" s="1"/>
  <c r="D13" i="5"/>
  <c r="I14" i="5" s="1"/>
  <c r="D13" i="6"/>
  <c r="I14" i="6" s="1"/>
  <c r="D13" i="43"/>
  <c r="I14" i="43" s="1"/>
  <c r="D13" i="10"/>
  <c r="I14" i="10" s="1"/>
  <c r="D13" i="31"/>
  <c r="I14" i="31" s="1"/>
  <c r="D13" i="39"/>
  <c r="I14" i="39" s="1"/>
  <c r="D13" i="37"/>
  <c r="I14" i="37" s="1"/>
  <c r="D13" i="11"/>
  <c r="I14" i="11" s="1"/>
  <c r="D13" i="38"/>
  <c r="I14" i="38" s="1"/>
  <c r="D13" i="3"/>
  <c r="I14" i="3" s="1"/>
  <c r="D13" i="7"/>
  <c r="I14" i="7" s="1"/>
  <c r="D13" i="30"/>
  <c r="I14" i="30" s="1"/>
  <c r="D13" i="44"/>
  <c r="I14" i="44" s="1"/>
  <c r="M87" i="31"/>
  <c r="N87" i="22"/>
  <c r="O87" i="22" s="1"/>
  <c r="L86" i="3"/>
  <c r="N87" i="31"/>
  <c r="M87" i="42"/>
  <c r="L86" i="39"/>
  <c r="M87" i="8"/>
  <c r="N87" i="8"/>
  <c r="M87" i="29"/>
  <c r="N87" i="29"/>
  <c r="L86" i="22"/>
  <c r="M87" i="13"/>
  <c r="L86" i="44"/>
  <c r="M87" i="7"/>
  <c r="N87" i="5"/>
  <c r="N87" i="27"/>
  <c r="M87" i="27"/>
  <c r="N87" i="24"/>
  <c r="N87" i="30"/>
  <c r="N87" i="40"/>
  <c r="M87" i="44"/>
  <c r="O87" i="44" s="1"/>
  <c r="N87" i="7"/>
  <c r="O87" i="7" s="1"/>
  <c r="M87" i="43"/>
  <c r="O87" i="43" s="1"/>
  <c r="M87" i="24"/>
  <c r="L86" i="43"/>
  <c r="M87" i="30"/>
  <c r="M87" i="39"/>
  <c r="O87" i="39" s="1"/>
  <c r="L86" i="9"/>
  <c r="N87" i="38"/>
  <c r="M87" i="38"/>
  <c r="M87" i="6"/>
  <c r="N87" i="6"/>
  <c r="L86" i="11"/>
  <c r="M87" i="37"/>
  <c r="O87" i="37" s="1"/>
  <c r="M87" i="4"/>
  <c r="E100" i="13"/>
  <c r="F100" i="13" s="1"/>
  <c r="D101" i="13" s="1"/>
  <c r="E101" i="13" s="1"/>
  <c r="B19" i="44"/>
  <c r="D18" i="13"/>
  <c r="G17" i="13"/>
  <c r="B18" i="45"/>
  <c r="C100" i="38"/>
  <c r="C101" i="38" s="1"/>
  <c r="C102" i="38" s="1"/>
  <c r="C103" i="38" s="1"/>
  <c r="C104" i="38" s="1"/>
  <c r="C105" i="38" s="1"/>
  <c r="C106" i="38" s="1"/>
  <c r="C107" i="38" s="1"/>
  <c r="C108" i="38" s="1"/>
  <c r="C109" i="38" s="1"/>
  <c r="C110" i="38" s="1"/>
  <c r="C111" i="38" s="1"/>
  <c r="C112" i="38" s="1"/>
  <c r="C113" i="38" s="1"/>
  <c r="C114" i="38" s="1"/>
  <c r="C115" i="38" s="1"/>
  <c r="C116" i="38" s="1"/>
  <c r="C117" i="38" s="1"/>
  <c r="C118" i="38" s="1"/>
  <c r="C119" i="38" s="1"/>
  <c r="C120" i="38" s="1"/>
  <c r="C121" i="38" s="1"/>
  <c r="C122" i="38" s="1"/>
  <c r="C123" i="38" s="1"/>
  <c r="C124" i="38" s="1"/>
  <c r="C125" i="38" s="1"/>
  <c r="C126" i="38" s="1"/>
  <c r="C127" i="38" s="1"/>
  <c r="C128" i="38" s="1"/>
  <c r="C129" i="38" s="1"/>
  <c r="C130" i="38" s="1"/>
  <c r="C131" i="38" s="1"/>
  <c r="C132" i="38" s="1"/>
  <c r="C133" i="38" s="1"/>
  <c r="C134" i="38" s="1"/>
  <c r="C135" i="38" s="1"/>
  <c r="C136" i="38" s="1"/>
  <c r="C137" i="38" s="1"/>
  <c r="C138" i="38" s="1"/>
  <c r="C139" i="38" s="1"/>
  <c r="C140" i="38" s="1"/>
  <c r="C141" i="38" s="1"/>
  <c r="C142" i="38" s="1"/>
  <c r="C143" i="38" s="1"/>
  <c r="C144" i="38" s="1"/>
  <c r="C145" i="38" s="1"/>
  <c r="C146" i="38" s="1"/>
  <c r="C147" i="38" s="1"/>
  <c r="C148" i="38" s="1"/>
  <c r="C149" i="38" s="1"/>
  <c r="C150" i="38" s="1"/>
  <c r="C151" i="38" s="1"/>
  <c r="C152" i="38" s="1"/>
  <c r="C153" i="38" s="1"/>
  <c r="C154" i="38" s="1"/>
  <c r="C99" i="22"/>
  <c r="C100" i="22" s="1"/>
  <c r="C101" i="22" s="1"/>
  <c r="C102" i="22" s="1"/>
  <c r="C103" i="22" s="1"/>
  <c r="C104" i="22" s="1"/>
  <c r="C105" i="22" s="1"/>
  <c r="C106" i="22" s="1"/>
  <c r="C107" i="22" s="1"/>
  <c r="C108" i="22" s="1"/>
  <c r="C109" i="22" s="1"/>
  <c r="C110" i="22" s="1"/>
  <c r="C111" i="22" s="1"/>
  <c r="C112" i="22" s="1"/>
  <c r="C113" i="22" s="1"/>
  <c r="C114" i="22" s="1"/>
  <c r="C115" i="22" s="1"/>
  <c r="C116" i="22" s="1"/>
  <c r="C117" i="22" s="1"/>
  <c r="C118" i="22" s="1"/>
  <c r="C119" i="22" s="1"/>
  <c r="C120" i="22" s="1"/>
  <c r="C121" i="22" s="1"/>
  <c r="C122" i="22" s="1"/>
  <c r="C123" i="22" s="1"/>
  <c r="C124" i="22" s="1"/>
  <c r="C125" i="22" s="1"/>
  <c r="C126" i="22" s="1"/>
  <c r="C127" i="22" s="1"/>
  <c r="C128" i="22" s="1"/>
  <c r="C129" i="22" s="1"/>
  <c r="C130" i="22" s="1"/>
  <c r="C131" i="22" s="1"/>
  <c r="C132" i="22" s="1"/>
  <c r="C133" i="22" s="1"/>
  <c r="C134" i="22" s="1"/>
  <c r="C135" i="22" s="1"/>
  <c r="C136" i="22" s="1"/>
  <c r="C137" i="22" s="1"/>
  <c r="C138" i="22" s="1"/>
  <c r="C139" i="22" s="1"/>
  <c r="C140" i="22" s="1"/>
  <c r="C141" i="22" s="1"/>
  <c r="C142" i="22" s="1"/>
  <c r="C143" i="22" s="1"/>
  <c r="C144" i="22" s="1"/>
  <c r="C145" i="22" s="1"/>
  <c r="C146" i="22" s="1"/>
  <c r="C147" i="22" s="1"/>
  <c r="C148" i="22" s="1"/>
  <c r="C149" i="22" s="1"/>
  <c r="C150" i="22" s="1"/>
  <c r="C151" i="22" s="1"/>
  <c r="C152" i="22" s="1"/>
  <c r="C153" i="22" s="1"/>
  <c r="C154" i="22" s="1"/>
  <c r="O87" i="9"/>
  <c r="M87" i="46"/>
  <c r="N87" i="46"/>
  <c r="L86" i="46"/>
  <c r="O87" i="10"/>
  <c r="O87" i="41"/>
  <c r="C99" i="29"/>
  <c r="C100" i="29" s="1"/>
  <c r="C101" i="29" s="1"/>
  <c r="C102" i="29" s="1"/>
  <c r="C103" i="29" s="1"/>
  <c r="C104" i="29" s="1"/>
  <c r="C105" i="29" s="1"/>
  <c r="C106" i="29" s="1"/>
  <c r="C107" i="29" s="1"/>
  <c r="C108" i="29" s="1"/>
  <c r="C109" i="29" s="1"/>
  <c r="C110" i="29" s="1"/>
  <c r="C111" i="29" s="1"/>
  <c r="C112" i="29" s="1"/>
  <c r="C113" i="29" s="1"/>
  <c r="C114" i="29" s="1"/>
  <c r="C115" i="29" s="1"/>
  <c r="C116" i="29" s="1"/>
  <c r="C117" i="29" s="1"/>
  <c r="C118" i="29" s="1"/>
  <c r="C119" i="29" s="1"/>
  <c r="C120" i="29" s="1"/>
  <c r="C121" i="29" s="1"/>
  <c r="C122" i="29" s="1"/>
  <c r="C123" i="29" s="1"/>
  <c r="C124" i="29" s="1"/>
  <c r="C125" i="29" s="1"/>
  <c r="C126" i="29" s="1"/>
  <c r="C127" i="29" s="1"/>
  <c r="C128" i="29" s="1"/>
  <c r="C129" i="29" s="1"/>
  <c r="C130" i="29" s="1"/>
  <c r="C131" i="29" s="1"/>
  <c r="C132" i="29" s="1"/>
  <c r="C133" i="29" s="1"/>
  <c r="C134" i="29" s="1"/>
  <c r="C135" i="29" s="1"/>
  <c r="C136" i="29" s="1"/>
  <c r="C137" i="29" s="1"/>
  <c r="C138" i="29" s="1"/>
  <c r="C139" i="29" s="1"/>
  <c r="C140" i="29" s="1"/>
  <c r="C141" i="29" s="1"/>
  <c r="C142" i="29" s="1"/>
  <c r="C143" i="29" s="1"/>
  <c r="C144" i="29" s="1"/>
  <c r="C145" i="29" s="1"/>
  <c r="C146" i="29" s="1"/>
  <c r="C147" i="29" s="1"/>
  <c r="C148" i="29" s="1"/>
  <c r="C149" i="29" s="1"/>
  <c r="C150" i="29" s="1"/>
  <c r="C151" i="29" s="1"/>
  <c r="C152" i="29" s="1"/>
  <c r="C153" i="29" s="1"/>
  <c r="C154" i="29" s="1"/>
  <c r="I13" i="44"/>
  <c r="I13" i="45"/>
  <c r="C99" i="7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C99" i="8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45" i="45"/>
  <c r="C46" i="45" s="1"/>
  <c r="C47" i="45" s="1"/>
  <c r="C48" i="45" s="1"/>
  <c r="C49" i="45" s="1"/>
  <c r="C50" i="45" s="1"/>
  <c r="C51" i="45" s="1"/>
  <c r="C52" i="45" s="1"/>
  <c r="C53" i="45" s="1"/>
  <c r="C54" i="45" s="1"/>
  <c r="C55" i="45" s="1"/>
  <c r="C56" i="45" s="1"/>
  <c r="C57" i="45" s="1"/>
  <c r="C58" i="45" s="1"/>
  <c r="C59" i="45" s="1"/>
  <c r="C60" i="45" s="1"/>
  <c r="C61" i="45" s="1"/>
  <c r="C62" i="45" s="1"/>
  <c r="C63" i="45" s="1"/>
  <c r="C64" i="45" s="1"/>
  <c r="C65" i="45" s="1"/>
  <c r="C66" i="45" s="1"/>
  <c r="C67" i="45" s="1"/>
  <c r="C68" i="45" s="1"/>
  <c r="C69" i="45" s="1"/>
  <c r="C70" i="45" s="1"/>
  <c r="C71" i="45" s="1"/>
  <c r="C72" i="45" s="1"/>
  <c r="I13" i="46"/>
  <c r="C99" i="9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J95" i="43"/>
  <c r="J95" i="38"/>
  <c r="J95" i="13"/>
  <c r="I99" i="13" s="1"/>
  <c r="H99" i="13"/>
  <c r="D34" i="17"/>
  <c r="D22" i="17"/>
  <c r="D25" i="17"/>
  <c r="D33" i="17"/>
  <c r="D18" i="17"/>
  <c r="D41" i="17"/>
  <c r="D39" i="17"/>
  <c r="D23" i="17"/>
  <c r="C42" i="17"/>
  <c r="C41" i="17"/>
  <c r="D42" i="17"/>
  <c r="C25" i="17"/>
  <c r="C40" i="17"/>
  <c r="E50" i="17"/>
  <c r="D30" i="17"/>
  <c r="C31" i="17"/>
  <c r="D21" i="17"/>
  <c r="D35" i="17"/>
  <c r="C22" i="17"/>
  <c r="C24" i="17"/>
  <c r="D28" i="17"/>
  <c r="D38" i="17"/>
  <c r="D24" i="17"/>
  <c r="C34" i="17"/>
  <c r="D31" i="17"/>
  <c r="C43" i="17"/>
  <c r="C21" i="17"/>
  <c r="D27" i="17"/>
  <c r="O87" i="54" l="1"/>
  <c r="O87" i="55"/>
  <c r="N89" i="54"/>
  <c r="N89" i="55"/>
  <c r="E18" i="55"/>
  <c r="F18" i="55" s="1"/>
  <c r="H18" i="55" s="1"/>
  <c r="E17" i="54"/>
  <c r="F17" i="54" s="1"/>
  <c r="E18" i="54" s="1"/>
  <c r="H17" i="55"/>
  <c r="D101" i="54"/>
  <c r="E101" i="54" s="1"/>
  <c r="G100" i="54"/>
  <c r="J99" i="54"/>
  <c r="H101" i="55"/>
  <c r="I101" i="55"/>
  <c r="E102" i="55"/>
  <c r="F102" i="55" s="1"/>
  <c r="B102" i="55"/>
  <c r="O87" i="5"/>
  <c r="O87" i="40"/>
  <c r="I100" i="49"/>
  <c r="J100" i="49" s="1"/>
  <c r="E32" i="2"/>
  <c r="O87" i="4"/>
  <c r="O87" i="42"/>
  <c r="I17" i="13"/>
  <c r="O87" i="13"/>
  <c r="N88" i="48"/>
  <c r="J100" i="48"/>
  <c r="J99" i="49"/>
  <c r="N99" i="49"/>
  <c r="O99" i="49" s="1"/>
  <c r="P99" i="49" s="1"/>
  <c r="E25" i="1"/>
  <c r="E26" i="1" s="1"/>
  <c r="F53" i="1" s="1"/>
  <c r="M17" i="49"/>
  <c r="N17" i="49" s="1"/>
  <c r="I17" i="49"/>
  <c r="K17" i="49"/>
  <c r="L17" i="49" s="1"/>
  <c r="M89" i="47"/>
  <c r="D102" i="49"/>
  <c r="B102" i="49" s="1"/>
  <c r="G101" i="49"/>
  <c r="H101" i="48"/>
  <c r="I101" i="48"/>
  <c r="E102" i="48"/>
  <c r="F102" i="48" s="1"/>
  <c r="B102" i="48"/>
  <c r="E19" i="49"/>
  <c r="M89" i="49"/>
  <c r="N89" i="47"/>
  <c r="O87" i="49"/>
  <c r="O87" i="47"/>
  <c r="N89" i="49"/>
  <c r="O88" i="49"/>
  <c r="O87" i="29"/>
  <c r="O87" i="30"/>
  <c r="O87" i="24"/>
  <c r="O87" i="27"/>
  <c r="O87" i="8"/>
  <c r="O87" i="31"/>
  <c r="O87" i="6"/>
  <c r="O87" i="38"/>
  <c r="B101" i="13"/>
  <c r="F101" i="13"/>
  <c r="G101" i="13" s="1"/>
  <c r="E33" i="2"/>
  <c r="E37" i="2" s="1"/>
  <c r="F54" i="2" s="1"/>
  <c r="F53" i="2"/>
  <c r="G100" i="13"/>
  <c r="H100" i="13" s="1"/>
  <c r="B19" i="45"/>
  <c r="K18" i="45"/>
  <c r="B18" i="13"/>
  <c r="E18" i="13"/>
  <c r="F18" i="13" s="1"/>
  <c r="D19" i="13" s="1"/>
  <c r="B23" i="27"/>
  <c r="O87" i="46"/>
  <c r="B20" i="37"/>
  <c r="I17" i="46"/>
  <c r="I19" i="37"/>
  <c r="M18" i="45"/>
  <c r="B31" i="10"/>
  <c r="I30" i="10"/>
  <c r="J99" i="13"/>
  <c r="E30" i="1" l="1"/>
  <c r="E33" i="1" s="1"/>
  <c r="J101" i="55"/>
  <c r="E19" i="55"/>
  <c r="H17" i="54"/>
  <c r="N6" i="54" s="1"/>
  <c r="D18" i="54"/>
  <c r="G17" i="54"/>
  <c r="N5" i="54" s="1"/>
  <c r="D19" i="55"/>
  <c r="G18" i="55"/>
  <c r="I18" i="55" s="1"/>
  <c r="I17" i="55"/>
  <c r="N6" i="55"/>
  <c r="N7" i="55" s="1"/>
  <c r="G102" i="55"/>
  <c r="D103" i="55"/>
  <c r="B103" i="55" s="1"/>
  <c r="H100" i="54"/>
  <c r="I100" i="54"/>
  <c r="J100" i="54" s="1"/>
  <c r="B101" i="54"/>
  <c r="F101" i="54"/>
  <c r="O88" i="48"/>
  <c r="L18" i="45"/>
  <c r="M87" i="45"/>
  <c r="N18" i="45"/>
  <c r="N87" i="45"/>
  <c r="O17" i="49"/>
  <c r="N99" i="48"/>
  <c r="O99" i="48" s="1"/>
  <c r="P99" i="48" s="1"/>
  <c r="J99" i="48"/>
  <c r="E102" i="49"/>
  <c r="F102" i="49" s="1"/>
  <c r="G102" i="49" s="1"/>
  <c r="V46" i="17"/>
  <c r="H101" i="49"/>
  <c r="I101" i="49"/>
  <c r="G102" i="48"/>
  <c r="D103" i="48"/>
  <c r="J101" i="48"/>
  <c r="O89" i="49"/>
  <c r="D19" i="49"/>
  <c r="V47" i="17"/>
  <c r="V48" i="17"/>
  <c r="O89" i="47"/>
  <c r="E37" i="1"/>
  <c r="F54" i="1" s="1"/>
  <c r="F55" i="1" s="1"/>
  <c r="O18" i="45"/>
  <c r="I18" i="45"/>
  <c r="I100" i="13"/>
  <c r="J100" i="13" s="1"/>
  <c r="D102" i="13"/>
  <c r="B102" i="13" s="1"/>
  <c r="F55" i="2"/>
  <c r="F62" i="2" s="1"/>
  <c r="F65" i="2" s="1"/>
  <c r="F67" i="2" s="1"/>
  <c r="F69" i="2" s="1"/>
  <c r="F70" i="2" s="1"/>
  <c r="F71" i="2" s="1"/>
  <c r="F56" i="2" s="1"/>
  <c r="F57" i="2" s="1"/>
  <c r="G18" i="13"/>
  <c r="H18" i="13"/>
  <c r="I18" i="46"/>
  <c r="E19" i="13"/>
  <c r="F19" i="13" s="1"/>
  <c r="B19" i="13"/>
  <c r="B30" i="9"/>
  <c r="B19" i="46"/>
  <c r="I29" i="9"/>
  <c r="I17" i="45"/>
  <c r="I20" i="37"/>
  <c r="H101" i="13"/>
  <c r="I101" i="13"/>
  <c r="F50" i="17"/>
  <c r="E49" i="17"/>
  <c r="E103" i="55" l="1"/>
  <c r="F103" i="55" s="1"/>
  <c r="B19" i="55"/>
  <c r="F19" i="55"/>
  <c r="G19" i="55" s="1"/>
  <c r="B18" i="54"/>
  <c r="N7" i="54"/>
  <c r="F18" i="54"/>
  <c r="G18" i="54" s="1"/>
  <c r="I17" i="54"/>
  <c r="G50" i="17"/>
  <c r="G101" i="54"/>
  <c r="D102" i="54"/>
  <c r="G103" i="55"/>
  <c r="D104" i="55"/>
  <c r="E104" i="55" s="1"/>
  <c r="I102" i="55"/>
  <c r="H102" i="55"/>
  <c r="O87" i="45"/>
  <c r="D103" i="49"/>
  <c r="B103" i="49" s="1"/>
  <c r="K17" i="47"/>
  <c r="L17" i="47" s="1"/>
  <c r="K17" i="48"/>
  <c r="I18" i="49"/>
  <c r="E103" i="48"/>
  <c r="F103" i="48" s="1"/>
  <c r="B103" i="48"/>
  <c r="I102" i="48"/>
  <c r="H102" i="48"/>
  <c r="J101" i="49"/>
  <c r="I102" i="49"/>
  <c r="H102" i="49"/>
  <c r="B18" i="47"/>
  <c r="I18" i="13"/>
  <c r="B18" i="48"/>
  <c r="M17" i="47"/>
  <c r="N17" i="47" s="1"/>
  <c r="I17" i="47"/>
  <c r="F19" i="49"/>
  <c r="H19" i="49" s="1"/>
  <c r="N6" i="49" s="1"/>
  <c r="B19" i="49"/>
  <c r="I17" i="48"/>
  <c r="M17" i="48"/>
  <c r="I19" i="44"/>
  <c r="E102" i="13"/>
  <c r="F102" i="13" s="1"/>
  <c r="B20" i="44"/>
  <c r="G19" i="13"/>
  <c r="D20" i="13"/>
  <c r="H19" i="13"/>
  <c r="I23" i="27"/>
  <c r="B24" i="27"/>
  <c r="B28" i="5"/>
  <c r="I19" i="38"/>
  <c r="B23" i="31"/>
  <c r="I26" i="25"/>
  <c r="I24" i="24"/>
  <c r="B19" i="41"/>
  <c r="I28" i="6"/>
  <c r="I28" i="8"/>
  <c r="I29" i="11"/>
  <c r="I27" i="5"/>
  <c r="I19" i="39"/>
  <c r="I22" i="29"/>
  <c r="I27" i="3"/>
  <c r="I18" i="42"/>
  <c r="B23" i="28"/>
  <c r="B22" i="30"/>
  <c r="I26" i="22"/>
  <c r="B25" i="24"/>
  <c r="I25" i="23"/>
  <c r="I18" i="41"/>
  <c r="I17" i="43"/>
  <c r="I30" i="7"/>
  <c r="B20" i="39"/>
  <c r="B19" i="40"/>
  <c r="B19" i="42"/>
  <c r="B32" i="10"/>
  <c r="B28" i="4"/>
  <c r="B18" i="43"/>
  <c r="B29" i="6"/>
  <c r="B27" i="25"/>
  <c r="B26" i="23"/>
  <c r="I27" i="4"/>
  <c r="B21" i="37"/>
  <c r="B31" i="7"/>
  <c r="B29" i="8"/>
  <c r="B30" i="11"/>
  <c r="F62" i="1"/>
  <c r="F65" i="1" s="1"/>
  <c r="F67" i="1" s="1"/>
  <c r="F69" i="1" s="1"/>
  <c r="F76" i="1"/>
  <c r="F77" i="1" s="1"/>
  <c r="B23" i="29"/>
  <c r="B28" i="3"/>
  <c r="I18" i="40"/>
  <c r="I31" i="10"/>
  <c r="I22" i="28"/>
  <c r="B20" i="38"/>
  <c r="B27" i="22"/>
  <c r="I22" i="31"/>
  <c r="I21" i="30"/>
  <c r="F59" i="2"/>
  <c r="F79" i="2" s="1"/>
  <c r="F80" i="2" s="1"/>
  <c r="F82" i="2" s="1"/>
  <c r="F76" i="2"/>
  <c r="F77" i="2" s="1"/>
  <c r="J101" i="13"/>
  <c r="F49" i="17"/>
  <c r="H19" i="55" l="1"/>
  <c r="I19" i="55" s="1"/>
  <c r="H18" i="54"/>
  <c r="I18" i="54" s="1"/>
  <c r="G49" i="17"/>
  <c r="D20" i="55"/>
  <c r="E20" i="55"/>
  <c r="D19" i="54"/>
  <c r="E19" i="54"/>
  <c r="J102" i="55"/>
  <c r="E102" i="54"/>
  <c r="F102" i="54"/>
  <c r="B102" i="54"/>
  <c r="F104" i="55"/>
  <c r="B104" i="55"/>
  <c r="I103" i="55"/>
  <c r="H103" i="55"/>
  <c r="H101" i="54"/>
  <c r="I101" i="54"/>
  <c r="N17" i="48"/>
  <c r="N87" i="48"/>
  <c r="L17" i="48"/>
  <c r="M87" i="48"/>
  <c r="E103" i="49"/>
  <c r="F103" i="49" s="1"/>
  <c r="O17" i="47"/>
  <c r="I18" i="48"/>
  <c r="J102" i="48"/>
  <c r="J102" i="49"/>
  <c r="D104" i="48"/>
  <c r="B104" i="48" s="1"/>
  <c r="G103" i="48"/>
  <c r="D20" i="49"/>
  <c r="E20" i="49"/>
  <c r="G19" i="49"/>
  <c r="E19" i="47"/>
  <c r="B20" i="45"/>
  <c r="I19" i="45"/>
  <c r="I19" i="13"/>
  <c r="E20" i="13"/>
  <c r="F20" i="13" s="1"/>
  <c r="B20" i="13"/>
  <c r="I18" i="43"/>
  <c r="I20" i="38"/>
  <c r="I20" i="39"/>
  <c r="F70" i="1"/>
  <c r="F71" i="1" s="1"/>
  <c r="F56" i="1" s="1"/>
  <c r="F57" i="1" s="1"/>
  <c r="F59" i="1" s="1"/>
  <c r="F79" i="1" s="1"/>
  <c r="F80" i="1" s="1"/>
  <c r="F82" i="1" s="1"/>
  <c r="I19" i="46"/>
  <c r="B31" i="9"/>
  <c r="I30" i="9"/>
  <c r="B20" i="46"/>
  <c r="G102" i="13"/>
  <c r="D103" i="13"/>
  <c r="F20" i="55" l="1"/>
  <c r="D21" i="55" s="1"/>
  <c r="J101" i="54"/>
  <c r="E21" i="55"/>
  <c r="B20" i="55"/>
  <c r="G20" i="55"/>
  <c r="H20" i="55"/>
  <c r="B19" i="54"/>
  <c r="F19" i="54"/>
  <c r="G19" i="54" s="1"/>
  <c r="I19" i="49"/>
  <c r="N5" i="49"/>
  <c r="G104" i="55"/>
  <c r="D105" i="55"/>
  <c r="E105" i="55" s="1"/>
  <c r="J103" i="55"/>
  <c r="D103" i="54"/>
  <c r="G102" i="54"/>
  <c r="I18" i="47"/>
  <c r="O17" i="48"/>
  <c r="M89" i="48"/>
  <c r="N17" i="2"/>
  <c r="N29" i="2" s="1"/>
  <c r="O87" i="48"/>
  <c r="O89" i="48" s="1"/>
  <c r="N89" i="48"/>
  <c r="O17" i="2"/>
  <c r="D104" i="49"/>
  <c r="G103" i="49"/>
  <c r="E104" i="48"/>
  <c r="F104" i="48" s="1"/>
  <c r="D105" i="48" s="1"/>
  <c r="B105" i="48" s="1"/>
  <c r="I20" i="45"/>
  <c r="I103" i="48"/>
  <c r="H103" i="48"/>
  <c r="F19" i="47"/>
  <c r="G19" i="47" s="1"/>
  <c r="N5" i="47" s="1"/>
  <c r="B19" i="47"/>
  <c r="B19" i="48"/>
  <c r="F20" i="49"/>
  <c r="B20" i="49"/>
  <c r="I20" i="44"/>
  <c r="B21" i="44"/>
  <c r="D21" i="13"/>
  <c r="H20" i="13"/>
  <c r="G20" i="13"/>
  <c r="B25" i="27"/>
  <c r="I24" i="27"/>
  <c r="B20" i="41"/>
  <c r="B24" i="29"/>
  <c r="I31" i="7"/>
  <c r="I29" i="8"/>
  <c r="B29" i="5"/>
  <c r="B21" i="45"/>
  <c r="B33" i="10"/>
  <c r="B26" i="24"/>
  <c r="I27" i="25"/>
  <c r="I26" i="23"/>
  <c r="I30" i="11"/>
  <c r="B30" i="6"/>
  <c r="I23" i="28"/>
  <c r="I22" i="30"/>
  <c r="I28" i="4"/>
  <c r="B30" i="8"/>
  <c r="B28" i="22"/>
  <c r="I19" i="41"/>
  <c r="B19" i="43"/>
  <c r="I23" i="31"/>
  <c r="I28" i="3"/>
  <c r="I19" i="42"/>
  <c r="I25" i="24"/>
  <c r="B24" i="31"/>
  <c r="B21" i="39"/>
  <c r="B27" i="23"/>
  <c r="B23" i="30"/>
  <c r="B20" i="42"/>
  <c r="B29" i="4"/>
  <c r="B32" i="7"/>
  <c r="B22" i="37"/>
  <c r="I28" i="5"/>
  <c r="D21" i="46"/>
  <c r="E21" i="46" s="1"/>
  <c r="I32" i="10"/>
  <c r="B28" i="25"/>
  <c r="B31" i="11"/>
  <c r="B20" i="40"/>
  <c r="I29" i="6"/>
  <c r="I23" i="29"/>
  <c r="B24" i="28"/>
  <c r="B29" i="3"/>
  <c r="B21" i="38"/>
  <c r="I27" i="22"/>
  <c r="I19" i="40"/>
  <c r="I21" i="37"/>
  <c r="B103" i="13"/>
  <c r="E103" i="13"/>
  <c r="F103" i="13" s="1"/>
  <c r="I102" i="13"/>
  <c r="H102" i="13"/>
  <c r="E48" i="17"/>
  <c r="E46" i="17"/>
  <c r="I20" i="55" l="1"/>
  <c r="D20" i="54"/>
  <c r="E20" i="54"/>
  <c r="H19" i="54"/>
  <c r="I19" i="54" s="1"/>
  <c r="F21" i="55"/>
  <c r="D22" i="55" s="1"/>
  <c r="B21" i="55"/>
  <c r="N7" i="49"/>
  <c r="H102" i="54"/>
  <c r="I102" i="54"/>
  <c r="E103" i="54"/>
  <c r="F103" i="54" s="1"/>
  <c r="B103" i="54"/>
  <c r="B105" i="55"/>
  <c r="F105" i="55"/>
  <c r="I104" i="55"/>
  <c r="H104" i="55"/>
  <c r="I20" i="46"/>
  <c r="P17" i="2"/>
  <c r="G104" i="48"/>
  <c r="I104" i="48" s="1"/>
  <c r="H103" i="49"/>
  <c r="I103" i="49"/>
  <c r="J103" i="49" s="1"/>
  <c r="B104" i="49"/>
  <c r="E104" i="49"/>
  <c r="F104" i="49" s="1"/>
  <c r="J103" i="48"/>
  <c r="E105" i="48"/>
  <c r="F105" i="48" s="1"/>
  <c r="D20" i="48"/>
  <c r="E20" i="48" s="1"/>
  <c r="D21" i="49"/>
  <c r="E21" i="49"/>
  <c r="G20" i="49"/>
  <c r="H20" i="49"/>
  <c r="H19" i="47"/>
  <c r="E20" i="47"/>
  <c r="D22" i="44"/>
  <c r="I20" i="13"/>
  <c r="E21" i="13"/>
  <c r="F21" i="13" s="1"/>
  <c r="G21" i="13" s="1"/>
  <c r="B21" i="13"/>
  <c r="F21" i="46"/>
  <c r="H21" i="46" s="1"/>
  <c r="N6" i="46" s="1"/>
  <c r="B21" i="46"/>
  <c r="B32" i="9"/>
  <c r="D22" i="45"/>
  <c r="E22" i="45" s="1"/>
  <c r="I31" i="9"/>
  <c r="G103" i="13"/>
  <c r="D104" i="13"/>
  <c r="E104" i="13" s="1"/>
  <c r="J102" i="13"/>
  <c r="F48" i="17"/>
  <c r="H21" i="55" l="1"/>
  <c r="G21" i="55"/>
  <c r="J104" i="55"/>
  <c r="J102" i="54"/>
  <c r="E22" i="55"/>
  <c r="F22" i="55" s="1"/>
  <c r="B22" i="55"/>
  <c r="F20" i="54"/>
  <c r="G20" i="54" s="1"/>
  <c r="B20" i="54"/>
  <c r="G48" i="17"/>
  <c r="I19" i="47"/>
  <c r="N6" i="47"/>
  <c r="N7" i="47" s="1"/>
  <c r="D104" i="54"/>
  <c r="B104" i="54" s="1"/>
  <c r="G103" i="54"/>
  <c r="E104" i="54"/>
  <c r="F104" i="54" s="1"/>
  <c r="D106" i="55"/>
  <c r="B106" i="55" s="1"/>
  <c r="G105" i="55"/>
  <c r="H104" i="48"/>
  <c r="J104" i="48"/>
  <c r="G104" i="49"/>
  <c r="D105" i="49"/>
  <c r="B105" i="49" s="1"/>
  <c r="I20" i="49"/>
  <c r="I22" i="37"/>
  <c r="I19" i="48"/>
  <c r="G105" i="48"/>
  <c r="D106" i="48"/>
  <c r="B106" i="48" s="1"/>
  <c r="B21" i="49"/>
  <c r="F21" i="49"/>
  <c r="B20" i="47"/>
  <c r="F20" i="47"/>
  <c r="G20" i="47" s="1"/>
  <c r="F20" i="48"/>
  <c r="B20" i="48"/>
  <c r="I20" i="41"/>
  <c r="I20" i="40"/>
  <c r="I20" i="42"/>
  <c r="E22" i="44"/>
  <c r="F22" i="44" s="1"/>
  <c r="B22" i="44"/>
  <c r="I21" i="44"/>
  <c r="H21" i="13"/>
  <c r="D22" i="13"/>
  <c r="I25" i="27"/>
  <c r="B26" i="27"/>
  <c r="B31" i="6"/>
  <c r="B25" i="31"/>
  <c r="B25" i="28"/>
  <c r="I21" i="45"/>
  <c r="I30" i="6"/>
  <c r="I28" i="22"/>
  <c r="I24" i="31"/>
  <c r="I29" i="4"/>
  <c r="B30" i="3"/>
  <c r="I30" i="8"/>
  <c r="B22" i="39"/>
  <c r="B23" i="37"/>
  <c r="B30" i="4"/>
  <c r="I28" i="25"/>
  <c r="B21" i="40"/>
  <c r="B22" i="45"/>
  <c r="F22" i="45"/>
  <c r="H22" i="45" s="1"/>
  <c r="N6" i="45" s="1"/>
  <c r="B24" i="30"/>
  <c r="B21" i="41"/>
  <c r="B34" i="10"/>
  <c r="B27" i="24"/>
  <c r="I21" i="39"/>
  <c r="B28" i="23"/>
  <c r="B21" i="42"/>
  <c r="I24" i="29"/>
  <c r="I31" i="11"/>
  <c r="B22" i="38"/>
  <c r="B29" i="22"/>
  <c r="B33" i="7"/>
  <c r="I21" i="38"/>
  <c r="I27" i="23"/>
  <c r="D22" i="46"/>
  <c r="B25" i="29"/>
  <c r="I19" i="43"/>
  <c r="B32" i="11"/>
  <c r="I29" i="5"/>
  <c r="B30" i="5"/>
  <c r="I32" i="7"/>
  <c r="B29" i="25"/>
  <c r="I23" i="30"/>
  <c r="I33" i="10"/>
  <c r="I26" i="24"/>
  <c r="B20" i="43"/>
  <c r="G21" i="46"/>
  <c r="I24" i="28"/>
  <c r="I29" i="3"/>
  <c r="B31" i="8"/>
  <c r="I103" i="13"/>
  <c r="H103" i="13"/>
  <c r="F104" i="13"/>
  <c r="B104" i="13"/>
  <c r="F46" i="17"/>
  <c r="G22" i="55" l="1"/>
  <c r="H22" i="55"/>
  <c r="I22" i="55"/>
  <c r="I21" i="55"/>
  <c r="D21" i="54"/>
  <c r="E21" i="54"/>
  <c r="D23" i="55"/>
  <c r="E23" i="55"/>
  <c r="H20" i="54"/>
  <c r="I20" i="54" s="1"/>
  <c r="G46" i="17"/>
  <c r="I21" i="46"/>
  <c r="N5" i="46"/>
  <c r="E106" i="55"/>
  <c r="F106" i="55" s="1"/>
  <c r="I105" i="55"/>
  <c r="H105" i="55"/>
  <c r="M88" i="55" s="1"/>
  <c r="H103" i="54"/>
  <c r="I103" i="54"/>
  <c r="G104" i="54"/>
  <c r="D105" i="54"/>
  <c r="B105" i="54" s="1"/>
  <c r="E105" i="54"/>
  <c r="F105" i="54" s="1"/>
  <c r="E105" i="49"/>
  <c r="F105" i="49" s="1"/>
  <c r="G105" i="49" s="1"/>
  <c r="I105" i="49" s="1"/>
  <c r="I104" i="49"/>
  <c r="H104" i="49"/>
  <c r="E106" i="48"/>
  <c r="F106" i="48" s="1"/>
  <c r="D107" i="48" s="1"/>
  <c r="I105" i="48"/>
  <c r="H105" i="48"/>
  <c r="H20" i="48"/>
  <c r="N6" i="48" s="1"/>
  <c r="D21" i="48"/>
  <c r="E21" i="48"/>
  <c r="H21" i="49"/>
  <c r="D22" i="49"/>
  <c r="E22" i="49"/>
  <c r="G20" i="48"/>
  <c r="N5" i="48" s="1"/>
  <c r="H20" i="47"/>
  <c r="I20" i="47" s="1"/>
  <c r="D21" i="47"/>
  <c r="E21" i="47" s="1"/>
  <c r="G21" i="49"/>
  <c r="I21" i="13"/>
  <c r="G22" i="44"/>
  <c r="N5" i="44" s="1"/>
  <c r="D23" i="44"/>
  <c r="H22" i="44"/>
  <c r="N6" i="44" s="1"/>
  <c r="B22" i="13"/>
  <c r="E22" i="13"/>
  <c r="F22" i="13" s="1"/>
  <c r="B33" i="9"/>
  <c r="G22" i="45"/>
  <c r="I32" i="9"/>
  <c r="D24" i="37"/>
  <c r="E24" i="37"/>
  <c r="B22" i="46"/>
  <c r="E35" i="10"/>
  <c r="D35" i="10"/>
  <c r="E22" i="46"/>
  <c r="F22" i="46" s="1"/>
  <c r="D23" i="45"/>
  <c r="E23" i="45" s="1"/>
  <c r="J103" i="13"/>
  <c r="G104" i="13"/>
  <c r="D105" i="13"/>
  <c r="E105" i="13" s="1"/>
  <c r="E45" i="17"/>
  <c r="E43" i="17"/>
  <c r="E47" i="17"/>
  <c r="N7" i="44" l="1"/>
  <c r="B23" i="55"/>
  <c r="F23" i="55"/>
  <c r="G23" i="55" s="1"/>
  <c r="H23" i="55"/>
  <c r="F21" i="54"/>
  <c r="D22" i="54" s="1"/>
  <c r="B21" i="54"/>
  <c r="I22" i="45"/>
  <c r="N5" i="45"/>
  <c r="N7" i="46"/>
  <c r="N7" i="48"/>
  <c r="H104" i="54"/>
  <c r="I104" i="54"/>
  <c r="J103" i="54"/>
  <c r="M89" i="55"/>
  <c r="O88" i="55"/>
  <c r="O89" i="55" s="1"/>
  <c r="J105" i="55"/>
  <c r="D106" i="54"/>
  <c r="G105" i="54"/>
  <c r="G106" i="55"/>
  <c r="D107" i="55"/>
  <c r="E107" i="55" s="1"/>
  <c r="G106" i="48"/>
  <c r="H106" i="48" s="1"/>
  <c r="H105" i="49"/>
  <c r="J105" i="49" s="1"/>
  <c r="I23" i="37"/>
  <c r="D106" i="49"/>
  <c r="B106" i="49" s="1"/>
  <c r="J104" i="49"/>
  <c r="J105" i="48"/>
  <c r="I20" i="48"/>
  <c r="I21" i="40"/>
  <c r="I22" i="38"/>
  <c r="I21" i="41"/>
  <c r="I21" i="42"/>
  <c r="I22" i="39"/>
  <c r="E107" i="48"/>
  <c r="F107" i="48" s="1"/>
  <c r="B107" i="48"/>
  <c r="F21" i="47"/>
  <c r="G21" i="47" s="1"/>
  <c r="B21" i="47"/>
  <c r="F21" i="48"/>
  <c r="H21" i="48" s="1"/>
  <c r="B21" i="48"/>
  <c r="I21" i="49"/>
  <c r="F22" i="49"/>
  <c r="G22" i="49" s="1"/>
  <c r="B22" i="49"/>
  <c r="I20" i="43"/>
  <c r="I22" i="44"/>
  <c r="E23" i="44"/>
  <c r="F23" i="44" s="1"/>
  <c r="B23" i="44"/>
  <c r="G22" i="13"/>
  <c r="H22" i="13"/>
  <c r="D23" i="13"/>
  <c r="B23" i="13" s="1"/>
  <c r="I26" i="27"/>
  <c r="B27" i="27"/>
  <c r="D23" i="46"/>
  <c r="E23" i="46" s="1"/>
  <c r="G22" i="46"/>
  <c r="H22" i="46"/>
  <c r="B28" i="24"/>
  <c r="I32" i="11"/>
  <c r="B26" i="29"/>
  <c r="B22" i="42"/>
  <c r="B30" i="25"/>
  <c r="B32" i="8"/>
  <c r="B22" i="40"/>
  <c r="B35" i="10"/>
  <c r="F35" i="10"/>
  <c r="B21" i="43"/>
  <c r="B32" i="6"/>
  <c r="B24" i="37"/>
  <c r="F24" i="37"/>
  <c r="G24" i="37" s="1"/>
  <c r="N5" i="37" s="1"/>
  <c r="B26" i="28"/>
  <c r="D34" i="9"/>
  <c r="E34" i="9"/>
  <c r="B25" i="30"/>
  <c r="I28" i="23"/>
  <c r="B23" i="38"/>
  <c r="B31" i="5"/>
  <c r="I34" i="10"/>
  <c r="I30" i="4"/>
  <c r="B33" i="11"/>
  <c r="I31" i="6"/>
  <c r="B26" i="31"/>
  <c r="B23" i="39"/>
  <c r="I29" i="22"/>
  <c r="I31" i="8"/>
  <c r="I33" i="7"/>
  <c r="B31" i="3"/>
  <c r="I25" i="31"/>
  <c r="B30" i="22"/>
  <c r="F23" i="45"/>
  <c r="H23" i="45" s="1"/>
  <c r="B23" i="45"/>
  <c r="I24" i="30"/>
  <c r="B29" i="23"/>
  <c r="I29" i="25"/>
  <c r="I27" i="24"/>
  <c r="I30" i="5"/>
  <c r="B22" i="41"/>
  <c r="B34" i="7"/>
  <c r="I30" i="3"/>
  <c r="B31" i="4"/>
  <c r="I25" i="28"/>
  <c r="I25" i="29"/>
  <c r="H104" i="13"/>
  <c r="I104" i="13"/>
  <c r="B105" i="13"/>
  <c r="F105" i="13"/>
  <c r="F47" i="17"/>
  <c r="E44" i="17"/>
  <c r="F43" i="17"/>
  <c r="F45" i="17"/>
  <c r="E36" i="17"/>
  <c r="I106" i="48" l="1"/>
  <c r="J104" i="54"/>
  <c r="I23" i="55"/>
  <c r="G43" i="17"/>
  <c r="G21" i="54"/>
  <c r="H21" i="54"/>
  <c r="E22" i="54"/>
  <c r="F22" i="54" s="1"/>
  <c r="B22" i="54"/>
  <c r="D24" i="55"/>
  <c r="E24" i="55"/>
  <c r="G47" i="17"/>
  <c r="G45" i="17"/>
  <c r="N7" i="45"/>
  <c r="H105" i="54"/>
  <c r="M88" i="54" s="1"/>
  <c r="I105" i="54"/>
  <c r="J105" i="54" s="1"/>
  <c r="B106" i="54"/>
  <c r="B107" i="55"/>
  <c r="F107" i="55"/>
  <c r="H106" i="55"/>
  <c r="I106" i="55"/>
  <c r="E106" i="54"/>
  <c r="F106" i="54" s="1"/>
  <c r="E106" i="49"/>
  <c r="F106" i="49" s="1"/>
  <c r="D107" i="49" s="1"/>
  <c r="J106" i="48"/>
  <c r="G21" i="48"/>
  <c r="I21" i="48" s="1"/>
  <c r="H21" i="47"/>
  <c r="I21" i="47" s="1"/>
  <c r="G107" i="48"/>
  <c r="D108" i="48"/>
  <c r="B108" i="48" s="1"/>
  <c r="D23" i="49"/>
  <c r="E23" i="49"/>
  <c r="H22" i="49"/>
  <c r="I22" i="49" s="1"/>
  <c r="D22" i="48"/>
  <c r="E22" i="48"/>
  <c r="D22" i="47"/>
  <c r="E22" i="47" s="1"/>
  <c r="E23" i="13"/>
  <c r="F23" i="13" s="1"/>
  <c r="H23" i="13" s="1"/>
  <c r="I22" i="46"/>
  <c r="H23" i="44"/>
  <c r="D24" i="44"/>
  <c r="G23" i="44"/>
  <c r="I22" i="13"/>
  <c r="H24" i="37"/>
  <c r="D28" i="27"/>
  <c r="E28" i="27"/>
  <c r="D24" i="39"/>
  <c r="E24" i="39"/>
  <c r="D35" i="7"/>
  <c r="E35" i="7"/>
  <c r="D30" i="23"/>
  <c r="E30" i="23"/>
  <c r="D32" i="3"/>
  <c r="E32" i="3"/>
  <c r="D27" i="31"/>
  <c r="E27" i="31"/>
  <c r="D24" i="38"/>
  <c r="E24" i="38"/>
  <c r="D33" i="6"/>
  <c r="E33" i="6"/>
  <c r="D33" i="8"/>
  <c r="E33" i="8"/>
  <c r="D23" i="42"/>
  <c r="E23" i="42"/>
  <c r="D27" i="29"/>
  <c r="E27" i="29"/>
  <c r="D29" i="24"/>
  <c r="N5" i="24"/>
  <c r="N6" i="24"/>
  <c r="E29" i="24"/>
  <c r="D23" i="41"/>
  <c r="E23" i="41"/>
  <c r="D24" i="45"/>
  <c r="F34" i="9"/>
  <c r="B34" i="9"/>
  <c r="D32" i="4"/>
  <c r="E32" i="4"/>
  <c r="G23" i="45"/>
  <c r="I23" i="45" s="1"/>
  <c r="D31" i="22"/>
  <c r="E31" i="22"/>
  <c r="D34" i="11"/>
  <c r="E34" i="11"/>
  <c r="D32" i="5"/>
  <c r="E32" i="5"/>
  <c r="D26" i="30"/>
  <c r="E26" i="30"/>
  <c r="D27" i="28"/>
  <c r="E27" i="28"/>
  <c r="D25" i="37"/>
  <c r="E25" i="37"/>
  <c r="F23" i="46"/>
  <c r="G23" i="46" s="1"/>
  <c r="B23" i="46"/>
  <c r="I33" i="9"/>
  <c r="H35" i="10"/>
  <c r="N6" i="10" s="1"/>
  <c r="G35" i="10"/>
  <c r="N5" i="10" s="1"/>
  <c r="D36" i="10"/>
  <c r="E36" i="10"/>
  <c r="D23" i="40"/>
  <c r="E23" i="40"/>
  <c r="D31" i="25"/>
  <c r="E31" i="25"/>
  <c r="J104" i="13"/>
  <c r="G105" i="13"/>
  <c r="D106" i="13"/>
  <c r="E106" i="13" s="1"/>
  <c r="E29" i="17"/>
  <c r="F44" i="17"/>
  <c r="E25" i="17"/>
  <c r="I21" i="54" l="1"/>
  <c r="H22" i="54"/>
  <c r="G22" i="54"/>
  <c r="J106" i="55"/>
  <c r="F24" i="55"/>
  <c r="D25" i="55" s="1"/>
  <c r="D23" i="54"/>
  <c r="E23" i="54"/>
  <c r="B24" i="55"/>
  <c r="G44" i="17"/>
  <c r="I24" i="37"/>
  <c r="N6" i="37"/>
  <c r="N7" i="37" s="1"/>
  <c r="N7" i="10"/>
  <c r="D108" i="55"/>
  <c r="G107" i="55"/>
  <c r="E108" i="55"/>
  <c r="G106" i="54"/>
  <c r="D107" i="54"/>
  <c r="E107" i="54"/>
  <c r="M89" i="54"/>
  <c r="O88" i="54"/>
  <c r="O89" i="54" s="1"/>
  <c r="G106" i="49"/>
  <c r="I106" i="49" s="1"/>
  <c r="I22" i="42"/>
  <c r="N7" i="24"/>
  <c r="I23" i="38"/>
  <c r="I22" i="40"/>
  <c r="E107" i="49"/>
  <c r="F107" i="49" s="1"/>
  <c r="B107" i="49"/>
  <c r="I21" i="43"/>
  <c r="H107" i="48"/>
  <c r="I107" i="48"/>
  <c r="E108" i="48"/>
  <c r="F108" i="48" s="1"/>
  <c r="F22" i="47"/>
  <c r="G22" i="47" s="1"/>
  <c r="B22" i="47"/>
  <c r="B22" i="48"/>
  <c r="F22" i="48"/>
  <c r="G22" i="48" s="1"/>
  <c r="B23" i="49"/>
  <c r="F23" i="49"/>
  <c r="G23" i="49" s="1"/>
  <c r="G23" i="13"/>
  <c r="D24" i="13"/>
  <c r="I27" i="27"/>
  <c r="E24" i="44"/>
  <c r="F24" i="44" s="1"/>
  <c r="B24" i="44"/>
  <c r="I23" i="44"/>
  <c r="F28" i="27"/>
  <c r="B28" i="27"/>
  <c r="I23" i="39"/>
  <c r="B27" i="28"/>
  <c r="F27" i="28"/>
  <c r="G34" i="9"/>
  <c r="N5" i="9" s="1"/>
  <c r="E35" i="9"/>
  <c r="D35" i="9"/>
  <c r="H34" i="9"/>
  <c r="N6" i="9" s="1"/>
  <c r="B23" i="41"/>
  <c r="F23" i="41"/>
  <c r="G23" i="41" s="1"/>
  <c r="N5" i="41" s="1"/>
  <c r="I32" i="6"/>
  <c r="F35" i="7"/>
  <c r="B35" i="7"/>
  <c r="B36" i="10"/>
  <c r="F36" i="10"/>
  <c r="B25" i="37"/>
  <c r="F25" i="37"/>
  <c r="H25" i="37" s="1"/>
  <c r="B34" i="11"/>
  <c r="F34" i="11"/>
  <c r="F31" i="22"/>
  <c r="B31" i="22"/>
  <c r="B24" i="45"/>
  <c r="F33" i="8"/>
  <c r="B33" i="8"/>
  <c r="B22" i="43"/>
  <c r="I26" i="31"/>
  <c r="B31" i="25"/>
  <c r="F31" i="25"/>
  <c r="F32" i="5"/>
  <c r="B32" i="5"/>
  <c r="I30" i="25"/>
  <c r="B32" i="4"/>
  <c r="F32" i="4"/>
  <c r="E24" i="45"/>
  <c r="F24" i="45" s="1"/>
  <c r="I28" i="24"/>
  <c r="F27" i="29"/>
  <c r="B27" i="29"/>
  <c r="B23" i="42"/>
  <c r="F23" i="42"/>
  <c r="I32" i="8"/>
  <c r="F32" i="3"/>
  <c r="B32" i="3"/>
  <c r="B30" i="23"/>
  <c r="F30" i="23"/>
  <c r="I34" i="7"/>
  <c r="B24" i="39"/>
  <c r="F24" i="39"/>
  <c r="G24" i="39" s="1"/>
  <c r="N5" i="39" s="1"/>
  <c r="D24" i="46"/>
  <c r="E24" i="46" s="1"/>
  <c r="F26" i="30"/>
  <c r="B26" i="30"/>
  <c r="B29" i="24"/>
  <c r="F29" i="24"/>
  <c r="B23" i="40"/>
  <c r="F23" i="40"/>
  <c r="H23" i="40" s="1"/>
  <c r="N6" i="40" s="1"/>
  <c r="I35" i="10"/>
  <c r="H23" i="46"/>
  <c r="I23" i="46" s="1"/>
  <c r="I26" i="28"/>
  <c r="I25" i="30"/>
  <c r="I31" i="5"/>
  <c r="I33" i="11"/>
  <c r="I30" i="22"/>
  <c r="I22" i="41"/>
  <c r="I31" i="4"/>
  <c r="I26" i="29"/>
  <c r="B33" i="6"/>
  <c r="F33" i="6"/>
  <c r="B24" i="38"/>
  <c r="F24" i="38"/>
  <c r="H24" i="38" s="1"/>
  <c r="N6" i="38" s="1"/>
  <c r="F27" i="31"/>
  <c r="B27" i="31"/>
  <c r="I31" i="3"/>
  <c r="I29" i="23"/>
  <c r="I105" i="13"/>
  <c r="N88" i="13" s="1"/>
  <c r="H105" i="13"/>
  <c r="M88" i="13" s="1"/>
  <c r="M89" i="13" s="1"/>
  <c r="B106" i="13"/>
  <c r="F106" i="13"/>
  <c r="E40" i="17"/>
  <c r="E24" i="17"/>
  <c r="E38" i="17"/>
  <c r="F29" i="17"/>
  <c r="F25" i="17"/>
  <c r="F36" i="17"/>
  <c r="H106" i="49" l="1"/>
  <c r="G24" i="55"/>
  <c r="H24" i="55"/>
  <c r="I22" i="54"/>
  <c r="N7" i="9"/>
  <c r="B23" i="54"/>
  <c r="F23" i="54"/>
  <c r="G23" i="54" s="1"/>
  <c r="E25" i="55"/>
  <c r="F25" i="55" s="1"/>
  <c r="B25" i="55"/>
  <c r="G25" i="17"/>
  <c r="G36" i="17"/>
  <c r="F107" i="54"/>
  <c r="B107" i="54"/>
  <c r="I106" i="54"/>
  <c r="H106" i="54"/>
  <c r="H107" i="55"/>
  <c r="I107" i="55"/>
  <c r="B108" i="55"/>
  <c r="F108" i="55"/>
  <c r="G29" i="17"/>
  <c r="I23" i="13"/>
  <c r="O88" i="13"/>
  <c r="O89" i="13" s="1"/>
  <c r="N89" i="13"/>
  <c r="J106" i="49"/>
  <c r="G107" i="49"/>
  <c r="D108" i="49"/>
  <c r="J107" i="48"/>
  <c r="H23" i="49"/>
  <c r="I23" i="49" s="1"/>
  <c r="D109" i="48"/>
  <c r="G108" i="48"/>
  <c r="D24" i="49"/>
  <c r="E24" i="49"/>
  <c r="H22" i="48"/>
  <c r="I22" i="48" s="1"/>
  <c r="D23" i="48"/>
  <c r="E23" i="48"/>
  <c r="H22" i="47"/>
  <c r="I22" i="47" s="1"/>
  <c r="D23" i="47"/>
  <c r="E23" i="47" s="1"/>
  <c r="E24" i="13"/>
  <c r="F24" i="13" s="1"/>
  <c r="B24" i="13"/>
  <c r="H23" i="41"/>
  <c r="G24" i="44"/>
  <c r="H24" i="44"/>
  <c r="D25" i="44"/>
  <c r="G25" i="37"/>
  <c r="I25" i="37" s="1"/>
  <c r="E29" i="27"/>
  <c r="H28" i="27"/>
  <c r="N6" i="27" s="1"/>
  <c r="D29" i="27"/>
  <c r="G28" i="27"/>
  <c r="N5" i="27" s="1"/>
  <c r="D25" i="45"/>
  <c r="G24" i="45"/>
  <c r="H24" i="45"/>
  <c r="D33" i="5"/>
  <c r="G32" i="5"/>
  <c r="N5" i="5" s="1"/>
  <c r="H32" i="5"/>
  <c r="N6" i="5" s="1"/>
  <c r="E33" i="5"/>
  <c r="D32" i="22"/>
  <c r="G31" i="22"/>
  <c r="N5" i="22" s="1"/>
  <c r="H31" i="22"/>
  <c r="N6" i="22" s="1"/>
  <c r="E32" i="22"/>
  <c r="D24" i="40"/>
  <c r="E24" i="40"/>
  <c r="D25" i="39"/>
  <c r="E25" i="39"/>
  <c r="D24" i="42"/>
  <c r="E24" i="42"/>
  <c r="H31" i="25"/>
  <c r="N6" i="25" s="1"/>
  <c r="G31" i="25"/>
  <c r="N5" i="25" s="1"/>
  <c r="D32" i="25"/>
  <c r="E32" i="25"/>
  <c r="D35" i="11"/>
  <c r="G34" i="11"/>
  <c r="N5" i="11" s="1"/>
  <c r="H34" i="11"/>
  <c r="N6" i="11" s="1"/>
  <c r="E35" i="11"/>
  <c r="I34" i="9"/>
  <c r="H27" i="28"/>
  <c r="N6" i="28" s="1"/>
  <c r="D28" i="28"/>
  <c r="G27" i="28"/>
  <c r="N5" i="28" s="1"/>
  <c r="E28" i="28"/>
  <c r="G27" i="31"/>
  <c r="N5" i="31" s="1"/>
  <c r="H27" i="31"/>
  <c r="N6" i="31" s="1"/>
  <c r="D28" i="31"/>
  <c r="E28" i="31"/>
  <c r="D25" i="38"/>
  <c r="E25" i="38"/>
  <c r="D34" i="6"/>
  <c r="G33" i="6"/>
  <c r="N5" i="6" s="1"/>
  <c r="H33" i="6"/>
  <c r="N6" i="6" s="1"/>
  <c r="E34" i="6"/>
  <c r="G26" i="30"/>
  <c r="N5" i="30" s="1"/>
  <c r="D27" i="30"/>
  <c r="H26" i="30"/>
  <c r="N6" i="30" s="1"/>
  <c r="E27" i="30"/>
  <c r="H24" i="39"/>
  <c r="N6" i="39" s="1"/>
  <c r="N7" i="39" s="1"/>
  <c r="D33" i="3"/>
  <c r="G32" i="3"/>
  <c r="N5" i="3" s="1"/>
  <c r="H32" i="3"/>
  <c r="N6" i="3" s="1"/>
  <c r="E33" i="3"/>
  <c r="G23" i="42"/>
  <c r="N5" i="42" s="1"/>
  <c r="G27" i="29"/>
  <c r="N5" i="29" s="1"/>
  <c r="D28" i="29"/>
  <c r="H27" i="29"/>
  <c r="N6" i="29" s="1"/>
  <c r="E28" i="29"/>
  <c r="D23" i="43"/>
  <c r="E23" i="43"/>
  <c r="D34" i="8"/>
  <c r="G33" i="8"/>
  <c r="N5" i="8" s="1"/>
  <c r="H33" i="8"/>
  <c r="N6" i="8" s="1"/>
  <c r="E34" i="8"/>
  <c r="H35" i="7"/>
  <c r="N6" i="7" s="1"/>
  <c r="D36" i="7"/>
  <c r="G35" i="7"/>
  <c r="N5" i="7" s="1"/>
  <c r="E36" i="7"/>
  <c r="B35" i="9"/>
  <c r="F35" i="9"/>
  <c r="G24" i="38"/>
  <c r="G23" i="40"/>
  <c r="D30" i="24"/>
  <c r="H29" i="24"/>
  <c r="G29" i="24"/>
  <c r="E30" i="24"/>
  <c r="B24" i="46"/>
  <c r="F24" i="46"/>
  <c r="G24" i="46" s="1"/>
  <c r="D31" i="23"/>
  <c r="G30" i="23"/>
  <c r="N5" i="23" s="1"/>
  <c r="H30" i="23"/>
  <c r="N6" i="23" s="1"/>
  <c r="E31" i="23"/>
  <c r="H23" i="42"/>
  <c r="N6" i="42" s="1"/>
  <c r="N7" i="42" s="1"/>
  <c r="D33" i="4"/>
  <c r="H32" i="4"/>
  <c r="N6" i="4" s="1"/>
  <c r="G32" i="4"/>
  <c r="N5" i="4" s="1"/>
  <c r="E33" i="4"/>
  <c r="D26" i="37"/>
  <c r="E26" i="37"/>
  <c r="E37" i="10"/>
  <c r="H36" i="10"/>
  <c r="D37" i="10"/>
  <c r="G36" i="10"/>
  <c r="D24" i="41"/>
  <c r="E24" i="41"/>
  <c r="D107" i="13"/>
  <c r="E107" i="13" s="1"/>
  <c r="G106" i="13"/>
  <c r="J105" i="13"/>
  <c r="E19" i="17"/>
  <c r="E18" i="17"/>
  <c r="E26" i="17"/>
  <c r="F24" i="17"/>
  <c r="E34" i="17"/>
  <c r="E28" i="17"/>
  <c r="E22" i="17"/>
  <c r="E27" i="17"/>
  <c r="E41" i="17"/>
  <c r="F38" i="17"/>
  <c r="E23" i="17"/>
  <c r="F41" i="17"/>
  <c r="E31" i="17"/>
  <c r="E20" i="17"/>
  <c r="E30" i="17"/>
  <c r="E32" i="17"/>
  <c r="E21" i="17"/>
  <c r="E35" i="17"/>
  <c r="E33" i="17"/>
  <c r="N7" i="23" l="1"/>
  <c r="I24" i="55"/>
  <c r="N7" i="29"/>
  <c r="H23" i="54"/>
  <c r="I23" i="54" s="1"/>
  <c r="J107" i="55"/>
  <c r="N7" i="3"/>
  <c r="N7" i="31"/>
  <c r="N7" i="11"/>
  <c r="G24" i="17"/>
  <c r="N7" i="22"/>
  <c r="N7" i="27"/>
  <c r="N7" i="7"/>
  <c r="D24" i="54"/>
  <c r="E24" i="54"/>
  <c r="D26" i="55"/>
  <c r="E26" i="55"/>
  <c r="H25" i="55"/>
  <c r="N7" i="8"/>
  <c r="N7" i="30"/>
  <c r="G25" i="55"/>
  <c r="G38" i="17"/>
  <c r="N7" i="5"/>
  <c r="N7" i="28"/>
  <c r="N7" i="25"/>
  <c r="I24" i="38"/>
  <c r="N5" i="38"/>
  <c r="N7" i="4"/>
  <c r="I23" i="40"/>
  <c r="N5" i="40"/>
  <c r="I23" i="41"/>
  <c r="N6" i="41"/>
  <c r="N7" i="41" s="1"/>
  <c r="N7" i="6"/>
  <c r="J106" i="54"/>
  <c r="G107" i="54"/>
  <c r="D108" i="54"/>
  <c r="E108" i="54" s="1"/>
  <c r="G108" i="55"/>
  <c r="D109" i="55"/>
  <c r="E109" i="55" s="1"/>
  <c r="G41" i="17"/>
  <c r="I22" i="43"/>
  <c r="B108" i="49"/>
  <c r="E108" i="49"/>
  <c r="F108" i="49" s="1"/>
  <c r="H107" i="49"/>
  <c r="I107" i="49"/>
  <c r="J107" i="49" s="1"/>
  <c r="E109" i="48"/>
  <c r="F109" i="48" s="1"/>
  <c r="B109" i="48"/>
  <c r="H108" i="48"/>
  <c r="I108" i="48"/>
  <c r="B24" i="49"/>
  <c r="F24" i="49"/>
  <c r="H24" i="49" s="1"/>
  <c r="F23" i="48"/>
  <c r="H23" i="48" s="1"/>
  <c r="B23" i="48"/>
  <c r="F23" i="47"/>
  <c r="G23" i="47" s="1"/>
  <c r="B23" i="47"/>
  <c r="I24" i="44"/>
  <c r="G24" i="13"/>
  <c r="N5" i="13" s="1"/>
  <c r="H24" i="13"/>
  <c r="N6" i="13" s="1"/>
  <c r="D25" i="13"/>
  <c r="I31" i="22"/>
  <c r="B25" i="44"/>
  <c r="E25" i="44"/>
  <c r="F25" i="44" s="1"/>
  <c r="I28" i="27"/>
  <c r="I36" i="10"/>
  <c r="I31" i="25"/>
  <c r="I27" i="29"/>
  <c r="I34" i="11"/>
  <c r="I29" i="24"/>
  <c r="I32" i="4"/>
  <c r="I27" i="28"/>
  <c r="I24" i="45"/>
  <c r="I35" i="7"/>
  <c r="I32" i="5"/>
  <c r="F29" i="27"/>
  <c r="B29" i="27"/>
  <c r="B33" i="3"/>
  <c r="F33" i="3"/>
  <c r="F28" i="28"/>
  <c r="B28" i="28"/>
  <c r="B31" i="23"/>
  <c r="F31" i="23"/>
  <c r="B30" i="24"/>
  <c r="F30" i="24"/>
  <c r="F34" i="8"/>
  <c r="B34" i="8"/>
  <c r="I24" i="39"/>
  <c r="B34" i="6"/>
  <c r="F34" i="6"/>
  <c r="B28" i="31"/>
  <c r="F28" i="31"/>
  <c r="B32" i="25"/>
  <c r="F32" i="25"/>
  <c r="F24" i="42"/>
  <c r="G24" i="42" s="1"/>
  <c r="B24" i="42"/>
  <c r="F24" i="40"/>
  <c r="H24" i="40" s="1"/>
  <c r="B24" i="40"/>
  <c r="F27" i="30"/>
  <c r="B27" i="30"/>
  <c r="B24" i="41"/>
  <c r="F24" i="41"/>
  <c r="I23" i="42"/>
  <c r="B28" i="29"/>
  <c r="F28" i="29"/>
  <c r="I32" i="3"/>
  <c r="I27" i="31"/>
  <c r="B35" i="11"/>
  <c r="F35" i="11"/>
  <c r="B25" i="45"/>
  <c r="F33" i="4"/>
  <c r="B33" i="4"/>
  <c r="D25" i="46"/>
  <c r="E25" i="46" s="1"/>
  <c r="F37" i="10"/>
  <c r="B37" i="10"/>
  <c r="F26" i="37"/>
  <c r="B26" i="37"/>
  <c r="I30" i="23"/>
  <c r="H24" i="46"/>
  <c r="I24" i="46" s="1"/>
  <c r="E36" i="9"/>
  <c r="D36" i="9"/>
  <c r="G35" i="9"/>
  <c r="H35" i="9"/>
  <c r="B36" i="7"/>
  <c r="F36" i="7"/>
  <c r="I33" i="8"/>
  <c r="B23" i="43"/>
  <c r="F23" i="43"/>
  <c r="I26" i="30"/>
  <c r="I33" i="6"/>
  <c r="F25" i="38"/>
  <c r="G25" i="38" s="1"/>
  <c r="B25" i="38"/>
  <c r="F25" i="39"/>
  <c r="H25" i="39" s="1"/>
  <c r="B25" i="39"/>
  <c r="F32" i="22"/>
  <c r="B32" i="22"/>
  <c r="B33" i="5"/>
  <c r="F33" i="5"/>
  <c r="E25" i="45"/>
  <c r="F25" i="45" s="1"/>
  <c r="H106" i="13"/>
  <c r="I106" i="13"/>
  <c r="F107" i="13"/>
  <c r="B107" i="13"/>
  <c r="F18" i="17"/>
  <c r="F27" i="17"/>
  <c r="E39" i="17"/>
  <c r="F35" i="17"/>
  <c r="F22" i="17"/>
  <c r="F20" i="17"/>
  <c r="F28" i="17"/>
  <c r="F30" i="17"/>
  <c r="F34" i="17"/>
  <c r="F31" i="17"/>
  <c r="F40" i="17"/>
  <c r="F19" i="17"/>
  <c r="F23" i="17"/>
  <c r="F26" i="17"/>
  <c r="F21" i="17"/>
  <c r="F33" i="17"/>
  <c r="E37" i="17"/>
  <c r="F32" i="17"/>
  <c r="G28" i="17" l="1"/>
  <c r="G33" i="17"/>
  <c r="G26" i="17"/>
  <c r="G35" i="17"/>
  <c r="G18" i="17"/>
  <c r="G22" i="17"/>
  <c r="G34" i="17"/>
  <c r="G31" i="17"/>
  <c r="G23" i="17"/>
  <c r="G27" i="17"/>
  <c r="N7" i="13"/>
  <c r="F24" i="54"/>
  <c r="D25" i="54" s="1"/>
  <c r="B24" i="54"/>
  <c r="F26" i="55"/>
  <c r="G26" i="55" s="1"/>
  <c r="B26" i="55"/>
  <c r="I25" i="55"/>
  <c r="G19" i="17"/>
  <c r="G21" i="17"/>
  <c r="G30" i="17"/>
  <c r="G40" i="17"/>
  <c r="G32" i="17"/>
  <c r="G20" i="17"/>
  <c r="N7" i="38"/>
  <c r="N7" i="40"/>
  <c r="B109" i="55"/>
  <c r="F109" i="55"/>
  <c r="F108" i="54"/>
  <c r="B108" i="54"/>
  <c r="H107" i="54"/>
  <c r="I107" i="54"/>
  <c r="H108" i="55"/>
  <c r="I108" i="55"/>
  <c r="J108" i="48"/>
  <c r="D109" i="49"/>
  <c r="B109" i="49" s="1"/>
  <c r="G108" i="49"/>
  <c r="I24" i="13"/>
  <c r="G109" i="48"/>
  <c r="D110" i="48"/>
  <c r="B110" i="48" s="1"/>
  <c r="D25" i="49"/>
  <c r="E25" i="49"/>
  <c r="D24" i="47"/>
  <c r="E24" i="47" s="1"/>
  <c r="D24" i="48"/>
  <c r="E24" i="48" s="1"/>
  <c r="H23" i="47"/>
  <c r="I23" i="47" s="1"/>
  <c r="G23" i="48"/>
  <c r="I23" i="48" s="1"/>
  <c r="G24" i="49"/>
  <c r="I24" i="49" s="1"/>
  <c r="B25" i="13"/>
  <c r="E25" i="13"/>
  <c r="F25" i="13" s="1"/>
  <c r="D26" i="44"/>
  <c r="H25" i="44"/>
  <c r="G25" i="44"/>
  <c r="G24" i="40"/>
  <c r="I24" i="40" s="1"/>
  <c r="H24" i="42"/>
  <c r="I24" i="42" s="1"/>
  <c r="G29" i="27"/>
  <c r="E30" i="27"/>
  <c r="H29" i="27"/>
  <c r="D30" i="27"/>
  <c r="D26" i="45"/>
  <c r="E26" i="45" s="1"/>
  <c r="H25" i="45"/>
  <c r="G25" i="45"/>
  <c r="D24" i="43"/>
  <c r="E24" i="43"/>
  <c r="D27" i="37"/>
  <c r="E27" i="37"/>
  <c r="D34" i="4"/>
  <c r="G33" i="4"/>
  <c r="H33" i="4"/>
  <c r="E34" i="4"/>
  <c r="G28" i="31"/>
  <c r="H28" i="31"/>
  <c r="D29" i="31"/>
  <c r="E29" i="31"/>
  <c r="D31" i="24"/>
  <c r="G30" i="24"/>
  <c r="H30" i="24"/>
  <c r="E31" i="24"/>
  <c r="D33" i="22"/>
  <c r="G32" i="22"/>
  <c r="H32" i="22"/>
  <c r="E33" i="22"/>
  <c r="D26" i="39"/>
  <c r="E26" i="39"/>
  <c r="D26" i="38"/>
  <c r="E26" i="38"/>
  <c r="H23" i="43"/>
  <c r="N6" i="43" s="1"/>
  <c r="N19" i="1" s="1"/>
  <c r="D37" i="7"/>
  <c r="G36" i="7"/>
  <c r="H36" i="7"/>
  <c r="E37" i="7"/>
  <c r="B36" i="9"/>
  <c r="F36" i="9"/>
  <c r="H26" i="37"/>
  <c r="D36" i="11"/>
  <c r="G35" i="11"/>
  <c r="H35" i="11"/>
  <c r="E36" i="11"/>
  <c r="D29" i="29"/>
  <c r="G28" i="29"/>
  <c r="H28" i="29"/>
  <c r="E29" i="29"/>
  <c r="G27" i="30"/>
  <c r="D28" i="30"/>
  <c r="H27" i="30"/>
  <c r="E28" i="30"/>
  <c r="D25" i="42"/>
  <c r="E25" i="42"/>
  <c r="H28" i="28"/>
  <c r="G28" i="28"/>
  <c r="D29" i="28"/>
  <c r="E29" i="28"/>
  <c r="D25" i="41"/>
  <c r="E25" i="41"/>
  <c r="G33" i="5"/>
  <c r="H33" i="5"/>
  <c r="D34" i="5"/>
  <c r="E34" i="5"/>
  <c r="G25" i="39"/>
  <c r="I25" i="39" s="1"/>
  <c r="H25" i="38"/>
  <c r="I25" i="38" s="1"/>
  <c r="E38" i="10"/>
  <c r="D38" i="10"/>
  <c r="G37" i="10"/>
  <c r="H37" i="10"/>
  <c r="F25" i="46"/>
  <c r="G25" i="46" s="1"/>
  <c r="B25" i="46"/>
  <c r="H24" i="41"/>
  <c r="D25" i="40"/>
  <c r="E25" i="40"/>
  <c r="D35" i="6"/>
  <c r="G34" i="6"/>
  <c r="H34" i="6"/>
  <c r="E35" i="6"/>
  <c r="H31" i="23"/>
  <c r="D32" i="23"/>
  <c r="G31" i="23"/>
  <c r="E32" i="23"/>
  <c r="D34" i="3"/>
  <c r="G33" i="3"/>
  <c r="H33" i="3"/>
  <c r="E34" i="3"/>
  <c r="G23" i="43"/>
  <c r="N5" i="43" s="1"/>
  <c r="I35" i="9"/>
  <c r="G26" i="37"/>
  <c r="G24" i="41"/>
  <c r="G32" i="25"/>
  <c r="D33" i="25"/>
  <c r="H32" i="25"/>
  <c r="E33" i="25"/>
  <c r="D35" i="8"/>
  <c r="G34" i="8"/>
  <c r="H34" i="8"/>
  <c r="E35" i="8"/>
  <c r="J106" i="13"/>
  <c r="G107" i="13"/>
  <c r="D108" i="13"/>
  <c r="E108" i="13" s="1"/>
  <c r="F39" i="17"/>
  <c r="F37" i="17"/>
  <c r="E42" i="17"/>
  <c r="J108" i="55" l="1"/>
  <c r="H26" i="55"/>
  <c r="I26" i="55" s="1"/>
  <c r="E25" i="54"/>
  <c r="F25" i="54" s="1"/>
  <c r="B25" i="54"/>
  <c r="D27" i="55"/>
  <c r="E27" i="55"/>
  <c r="H24" i="54"/>
  <c r="G24" i="54"/>
  <c r="E52" i="17"/>
  <c r="G39" i="17"/>
  <c r="G37" i="17"/>
  <c r="N20" i="1"/>
  <c r="R133" i="1"/>
  <c r="M19" i="1"/>
  <c r="M20" i="1" s="1"/>
  <c r="N7" i="43"/>
  <c r="J107" i="54"/>
  <c r="D109" i="54"/>
  <c r="E109" i="54" s="1"/>
  <c r="G108" i="54"/>
  <c r="D110" i="55"/>
  <c r="E110" i="55" s="1"/>
  <c r="G109" i="55"/>
  <c r="E109" i="49"/>
  <c r="F109" i="49" s="1"/>
  <c r="D110" i="49" s="1"/>
  <c r="G109" i="49"/>
  <c r="E110" i="48"/>
  <c r="F110" i="48" s="1"/>
  <c r="G110" i="48" s="1"/>
  <c r="H108" i="49"/>
  <c r="I108" i="49"/>
  <c r="H109" i="48"/>
  <c r="I109" i="48"/>
  <c r="F24" i="48"/>
  <c r="G24" i="48" s="1"/>
  <c r="B24" i="48"/>
  <c r="F25" i="49"/>
  <c r="B25" i="49"/>
  <c r="F24" i="47"/>
  <c r="B24" i="47"/>
  <c r="D26" i="13"/>
  <c r="H25" i="13"/>
  <c r="G25" i="13"/>
  <c r="I36" i="7"/>
  <c r="I25" i="44"/>
  <c r="E26" i="44"/>
  <c r="F26" i="44" s="1"/>
  <c r="B26" i="44"/>
  <c r="I29" i="27"/>
  <c r="I28" i="31"/>
  <c r="I32" i="22"/>
  <c r="I34" i="8"/>
  <c r="B30" i="27"/>
  <c r="F30" i="27"/>
  <c r="I26" i="37"/>
  <c r="I37" i="10"/>
  <c r="I33" i="5"/>
  <c r="I27" i="30"/>
  <c r="I28" i="29"/>
  <c r="I35" i="11"/>
  <c r="I33" i="3"/>
  <c r="I34" i="6"/>
  <c r="I24" i="41"/>
  <c r="B35" i="8"/>
  <c r="F35" i="8"/>
  <c r="F32" i="23"/>
  <c r="B32" i="23"/>
  <c r="F25" i="40"/>
  <c r="H25" i="40" s="1"/>
  <c r="B25" i="40"/>
  <c r="I28" i="28"/>
  <c r="G36" i="9"/>
  <c r="E37" i="9"/>
  <c r="H36" i="9"/>
  <c r="D37" i="9"/>
  <c r="B26" i="38"/>
  <c r="F26" i="38"/>
  <c r="H26" i="38" s="1"/>
  <c r="B31" i="24"/>
  <c r="F31" i="24"/>
  <c r="B34" i="4"/>
  <c r="F34" i="4"/>
  <c r="F24" i="43"/>
  <c r="B24" i="43"/>
  <c r="B26" i="45"/>
  <c r="F26" i="45"/>
  <c r="F34" i="5"/>
  <c r="B34" i="5"/>
  <c r="I32" i="25"/>
  <c r="F34" i="3"/>
  <c r="B34" i="3"/>
  <c r="I31" i="23"/>
  <c r="B35" i="6"/>
  <c r="F35" i="6"/>
  <c r="F28" i="30"/>
  <c r="B28" i="30"/>
  <c r="B37" i="7"/>
  <c r="F37" i="7"/>
  <c r="D26" i="46"/>
  <c r="B25" i="41"/>
  <c r="F25" i="41"/>
  <c r="H25" i="41" s="1"/>
  <c r="B33" i="25"/>
  <c r="F33" i="25"/>
  <c r="H25" i="46"/>
  <c r="I25" i="46" s="1"/>
  <c r="B38" i="10"/>
  <c r="F38" i="10"/>
  <c r="B29" i="28"/>
  <c r="F29" i="28"/>
  <c r="F25" i="42"/>
  <c r="B25" i="42"/>
  <c r="F29" i="29"/>
  <c r="B29" i="29"/>
  <c r="F36" i="11"/>
  <c r="B36" i="11"/>
  <c r="I23" i="43"/>
  <c r="F26" i="39"/>
  <c r="H26" i="39" s="1"/>
  <c r="B26" i="39"/>
  <c r="F33" i="22"/>
  <c r="B33" i="22"/>
  <c r="I30" i="24"/>
  <c r="F29" i="31"/>
  <c r="B29" i="31"/>
  <c r="I33" i="4"/>
  <c r="F27" i="37"/>
  <c r="B27" i="37"/>
  <c r="I25" i="45"/>
  <c r="H107" i="13"/>
  <c r="I107" i="13"/>
  <c r="B108" i="13"/>
  <c r="F108" i="13"/>
  <c r="F42" i="17"/>
  <c r="D111" i="48" l="1"/>
  <c r="B111" i="48" s="1"/>
  <c r="G25" i="54"/>
  <c r="H25" i="54"/>
  <c r="I24" i="54"/>
  <c r="F27" i="55"/>
  <c r="G27" i="55" s="1"/>
  <c r="B27" i="55"/>
  <c r="H27" i="55"/>
  <c r="R132" i="1"/>
  <c r="D26" i="54"/>
  <c r="E26" i="54"/>
  <c r="F52" i="17"/>
  <c r="G42" i="17"/>
  <c r="G52" i="17" s="1"/>
  <c r="O19" i="1"/>
  <c r="R134" i="1" s="1"/>
  <c r="H109" i="55"/>
  <c r="I109" i="55"/>
  <c r="F110" i="55"/>
  <c r="B110" i="55"/>
  <c r="H108" i="54"/>
  <c r="I108" i="54"/>
  <c r="B109" i="54"/>
  <c r="F109" i="54"/>
  <c r="I109" i="49"/>
  <c r="H109" i="49"/>
  <c r="J108" i="49"/>
  <c r="B110" i="49"/>
  <c r="E110" i="49"/>
  <c r="F110" i="49" s="1"/>
  <c r="H110" i="48"/>
  <c r="I110" i="48"/>
  <c r="E111" i="48"/>
  <c r="F111" i="48" s="1"/>
  <c r="J109" i="48"/>
  <c r="G25" i="49"/>
  <c r="D26" i="49"/>
  <c r="E26" i="49"/>
  <c r="H24" i="47"/>
  <c r="D25" i="47"/>
  <c r="E25" i="47" s="1"/>
  <c r="H25" i="49"/>
  <c r="G24" i="47"/>
  <c r="H24" i="48"/>
  <c r="I24" i="48" s="1"/>
  <c r="D25" i="48"/>
  <c r="E25" i="48" s="1"/>
  <c r="I25" i="13"/>
  <c r="E26" i="13"/>
  <c r="F26" i="13" s="1"/>
  <c r="B26" i="13"/>
  <c r="H26" i="44"/>
  <c r="G26" i="44"/>
  <c r="D27" i="44"/>
  <c r="G26" i="38"/>
  <c r="I26" i="38" s="1"/>
  <c r="G26" i="39"/>
  <c r="I26" i="39" s="1"/>
  <c r="H30" i="27"/>
  <c r="E31" i="27"/>
  <c r="D31" i="27"/>
  <c r="G30" i="27"/>
  <c r="E28" i="37"/>
  <c r="D28" i="37"/>
  <c r="H37" i="7"/>
  <c r="D38" i="7"/>
  <c r="G37" i="7"/>
  <c r="E38" i="7"/>
  <c r="H34" i="3"/>
  <c r="G34" i="3"/>
  <c r="D35" i="3"/>
  <c r="E35" i="3"/>
  <c r="D25" i="43"/>
  <c r="E25" i="43"/>
  <c r="G27" i="37"/>
  <c r="D37" i="11"/>
  <c r="G36" i="11"/>
  <c r="H36" i="11"/>
  <c r="E37" i="11"/>
  <c r="D26" i="42"/>
  <c r="E26" i="42"/>
  <c r="G33" i="25"/>
  <c r="H33" i="25"/>
  <c r="D34" i="25"/>
  <c r="E34" i="25"/>
  <c r="D26" i="41"/>
  <c r="E26" i="41"/>
  <c r="D27" i="45"/>
  <c r="G24" i="43"/>
  <c r="G34" i="4"/>
  <c r="D35" i="4"/>
  <c r="H34" i="4"/>
  <c r="E35" i="4"/>
  <c r="B37" i="9"/>
  <c r="F37" i="9"/>
  <c r="D26" i="40"/>
  <c r="E26" i="40"/>
  <c r="G29" i="28"/>
  <c r="H29" i="28"/>
  <c r="D30" i="28"/>
  <c r="E30" i="28"/>
  <c r="B26" i="46"/>
  <c r="G35" i="6"/>
  <c r="D36" i="6"/>
  <c r="H35" i="6"/>
  <c r="E36" i="6"/>
  <c r="G34" i="5"/>
  <c r="D35" i="5"/>
  <c r="H34" i="5"/>
  <c r="E35" i="5"/>
  <c r="H27" i="37"/>
  <c r="G33" i="22"/>
  <c r="D34" i="22"/>
  <c r="H33" i="22"/>
  <c r="E34" i="22"/>
  <c r="D27" i="39"/>
  <c r="E27" i="39"/>
  <c r="G25" i="42"/>
  <c r="E39" i="10"/>
  <c r="G38" i="10"/>
  <c r="H38" i="10"/>
  <c r="D39" i="10"/>
  <c r="H26" i="45"/>
  <c r="D27" i="38"/>
  <c r="E27" i="38"/>
  <c r="I36" i="9"/>
  <c r="G25" i="40"/>
  <c r="I25" i="40" s="1"/>
  <c r="H35" i="8"/>
  <c r="D36" i="8"/>
  <c r="G35" i="8"/>
  <c r="E36" i="8"/>
  <c r="H29" i="31"/>
  <c r="D30" i="31"/>
  <c r="G29" i="31"/>
  <c r="E30" i="31"/>
  <c r="D30" i="29"/>
  <c r="H29" i="29"/>
  <c r="G29" i="29"/>
  <c r="E30" i="29"/>
  <c r="H25" i="42"/>
  <c r="G25" i="41"/>
  <c r="I25" i="41" s="1"/>
  <c r="E26" i="46"/>
  <c r="F26" i="46" s="1"/>
  <c r="D29" i="30"/>
  <c r="H28" i="30"/>
  <c r="G28" i="30"/>
  <c r="E29" i="30"/>
  <c r="G26" i="45"/>
  <c r="H24" i="43"/>
  <c r="G31" i="24"/>
  <c r="D32" i="24"/>
  <c r="H31" i="24"/>
  <c r="E32" i="24"/>
  <c r="D33" i="23"/>
  <c r="G32" i="23"/>
  <c r="H32" i="23"/>
  <c r="E33" i="23"/>
  <c r="J107" i="13"/>
  <c r="G108" i="13"/>
  <c r="D109" i="13"/>
  <c r="E109" i="13" s="1"/>
  <c r="I25" i="54" l="1"/>
  <c r="J109" i="55"/>
  <c r="I27" i="55"/>
  <c r="F53" i="17"/>
  <c r="F26" i="54"/>
  <c r="G26" i="54" s="1"/>
  <c r="B26" i="54"/>
  <c r="E27" i="54"/>
  <c r="D28" i="55"/>
  <c r="E28" i="55"/>
  <c r="O20" i="1"/>
  <c r="J108" i="54"/>
  <c r="D110" i="54"/>
  <c r="G109" i="54"/>
  <c r="E110" i="54"/>
  <c r="G110" i="55"/>
  <c r="D111" i="55"/>
  <c r="E111" i="55" s="1"/>
  <c r="D111" i="49"/>
  <c r="G110" i="49"/>
  <c r="J109" i="49"/>
  <c r="I25" i="49"/>
  <c r="J110" i="48"/>
  <c r="D112" i="48"/>
  <c r="G111" i="48"/>
  <c r="F25" i="48"/>
  <c r="H25" i="48" s="1"/>
  <c r="B25" i="48"/>
  <c r="B26" i="49"/>
  <c r="F26" i="49"/>
  <c r="I24" i="47"/>
  <c r="F25" i="47"/>
  <c r="G25" i="47" s="1"/>
  <c r="B25" i="47"/>
  <c r="I26" i="44"/>
  <c r="G26" i="13"/>
  <c r="D27" i="13"/>
  <c r="H26" i="13"/>
  <c r="I33" i="22"/>
  <c r="I34" i="4"/>
  <c r="E27" i="44"/>
  <c r="F27" i="44" s="1"/>
  <c r="B27" i="44"/>
  <c r="I25" i="42"/>
  <c r="I27" i="37"/>
  <c r="I34" i="5"/>
  <c r="I37" i="7"/>
  <c r="I29" i="31"/>
  <c r="I35" i="6"/>
  <c r="I30" i="27"/>
  <c r="I29" i="29"/>
  <c r="I36" i="11"/>
  <c r="I26" i="45"/>
  <c r="I38" i="10"/>
  <c r="I29" i="28"/>
  <c r="F31" i="27"/>
  <c r="B31" i="27"/>
  <c r="D27" i="46"/>
  <c r="G26" i="46"/>
  <c r="H26" i="46"/>
  <c r="B32" i="24"/>
  <c r="F32" i="24"/>
  <c r="F30" i="29"/>
  <c r="B30" i="29"/>
  <c r="F39" i="10"/>
  <c r="B39" i="10"/>
  <c r="F30" i="28"/>
  <c r="B30" i="28"/>
  <c r="B26" i="40"/>
  <c r="F26" i="40"/>
  <c r="H26" i="40" s="1"/>
  <c r="B27" i="45"/>
  <c r="B25" i="43"/>
  <c r="F25" i="43"/>
  <c r="I34" i="3"/>
  <c r="I24" i="43"/>
  <c r="I28" i="30"/>
  <c r="B36" i="8"/>
  <c r="F36" i="8"/>
  <c r="B34" i="22"/>
  <c r="F34" i="22"/>
  <c r="F35" i="5"/>
  <c r="B35" i="5"/>
  <c r="F36" i="6"/>
  <c r="B36" i="6"/>
  <c r="G37" i="9"/>
  <c r="E38" i="9"/>
  <c r="H37" i="9"/>
  <c r="D38" i="9"/>
  <c r="B35" i="4"/>
  <c r="F35" i="4"/>
  <c r="E27" i="45"/>
  <c r="F27" i="45" s="1"/>
  <c r="F34" i="25"/>
  <c r="B34" i="25"/>
  <c r="B26" i="42"/>
  <c r="F26" i="42"/>
  <c r="H26" i="42" s="1"/>
  <c r="F37" i="11"/>
  <c r="B37" i="11"/>
  <c r="F30" i="31"/>
  <c r="B30" i="31"/>
  <c r="B26" i="41"/>
  <c r="F26" i="41"/>
  <c r="H26" i="41" s="1"/>
  <c r="B38" i="7"/>
  <c r="F38" i="7"/>
  <c r="B33" i="23"/>
  <c r="F33" i="23"/>
  <c r="I32" i="23"/>
  <c r="I31" i="24"/>
  <c r="F29" i="30"/>
  <c r="B29" i="30"/>
  <c r="I35" i="8"/>
  <c r="B27" i="38"/>
  <c r="F27" i="38"/>
  <c r="G27" i="38" s="1"/>
  <c r="B27" i="39"/>
  <c r="F27" i="39"/>
  <c r="H27" i="39" s="1"/>
  <c r="I33" i="25"/>
  <c r="F35" i="3"/>
  <c r="B35" i="3"/>
  <c r="B28" i="37"/>
  <c r="F28" i="37"/>
  <c r="I108" i="13"/>
  <c r="H108" i="13"/>
  <c r="F109" i="13"/>
  <c r="B109" i="13"/>
  <c r="D27" i="54" l="1"/>
  <c r="F27" i="54"/>
  <c r="G27" i="54" s="1"/>
  <c r="H26" i="54"/>
  <c r="I26" i="54" s="1"/>
  <c r="F28" i="55"/>
  <c r="G28" i="55" s="1"/>
  <c r="B28" i="55"/>
  <c r="D28" i="54"/>
  <c r="E28" i="54"/>
  <c r="B27" i="54"/>
  <c r="B111" i="55"/>
  <c r="F111" i="55"/>
  <c r="I110" i="55"/>
  <c r="H110" i="55"/>
  <c r="I109" i="54"/>
  <c r="H109" i="54"/>
  <c r="F110" i="54"/>
  <c r="B110" i="54"/>
  <c r="I110" i="49"/>
  <c r="H110" i="49"/>
  <c r="E111" i="49"/>
  <c r="F111" i="49" s="1"/>
  <c r="B111" i="49"/>
  <c r="H25" i="47"/>
  <c r="I25" i="47" s="1"/>
  <c r="H111" i="48"/>
  <c r="I111" i="48"/>
  <c r="J111" i="48" s="1"/>
  <c r="E112" i="48"/>
  <c r="F112" i="48" s="1"/>
  <c r="B112" i="48"/>
  <c r="H26" i="49"/>
  <c r="D27" i="49"/>
  <c r="E27" i="49"/>
  <c r="G26" i="49"/>
  <c r="D26" i="48"/>
  <c r="E26" i="48" s="1"/>
  <c r="I26" i="13"/>
  <c r="D26" i="47"/>
  <c r="E26" i="47" s="1"/>
  <c r="G25" i="48"/>
  <c r="I25" i="48" s="1"/>
  <c r="E27" i="13"/>
  <c r="F27" i="13" s="1"/>
  <c r="B27" i="13"/>
  <c r="G26" i="42"/>
  <c r="I26" i="42" s="1"/>
  <c r="H27" i="44"/>
  <c r="D28" i="44"/>
  <c r="G27" i="44"/>
  <c r="I26" i="46"/>
  <c r="D32" i="27"/>
  <c r="E32" i="27"/>
  <c r="H31" i="27"/>
  <c r="G31" i="27"/>
  <c r="D28" i="45"/>
  <c r="E28" i="45" s="1"/>
  <c r="H27" i="45"/>
  <c r="G27" i="45"/>
  <c r="D38" i="11"/>
  <c r="G37" i="11"/>
  <c r="H37" i="11"/>
  <c r="E38" i="11"/>
  <c r="D26" i="43"/>
  <c r="E26" i="43"/>
  <c r="D28" i="39"/>
  <c r="E28" i="39"/>
  <c r="D28" i="38"/>
  <c r="E28" i="38"/>
  <c r="G35" i="5"/>
  <c r="D36" i="5"/>
  <c r="H35" i="5"/>
  <c r="E36" i="5"/>
  <c r="G25" i="43"/>
  <c r="G26" i="40"/>
  <c r="I26" i="40" s="1"/>
  <c r="G30" i="28"/>
  <c r="D31" i="28"/>
  <c r="H30" i="28"/>
  <c r="E31" i="28"/>
  <c r="G30" i="29"/>
  <c r="D31" i="29"/>
  <c r="H30" i="29"/>
  <c r="E31" i="29"/>
  <c r="G35" i="4"/>
  <c r="H35" i="4"/>
  <c r="D36" i="4"/>
  <c r="E36" i="4"/>
  <c r="D37" i="8"/>
  <c r="H36" i="8"/>
  <c r="G36" i="8"/>
  <c r="E37" i="8"/>
  <c r="D29" i="37"/>
  <c r="E29" i="37"/>
  <c r="G28" i="37"/>
  <c r="H35" i="3"/>
  <c r="D36" i="3"/>
  <c r="G35" i="3"/>
  <c r="E36" i="3"/>
  <c r="H27" i="38"/>
  <c r="I27" i="38" s="1"/>
  <c r="H33" i="23"/>
  <c r="G33" i="23"/>
  <c r="D34" i="23"/>
  <c r="E34" i="23"/>
  <c r="D27" i="41"/>
  <c r="E27" i="41"/>
  <c r="G34" i="25"/>
  <c r="D35" i="25"/>
  <c r="H34" i="25"/>
  <c r="E35" i="25"/>
  <c r="B38" i="9"/>
  <c r="F38" i="9"/>
  <c r="G34" i="22"/>
  <c r="D35" i="22"/>
  <c r="H34" i="22"/>
  <c r="E35" i="22"/>
  <c r="H32" i="24"/>
  <c r="D33" i="24"/>
  <c r="G32" i="24"/>
  <c r="E33" i="24"/>
  <c r="B27" i="46"/>
  <c r="D39" i="7"/>
  <c r="G38" i="7"/>
  <c r="H38" i="7"/>
  <c r="E39" i="7"/>
  <c r="D27" i="40"/>
  <c r="E27" i="40"/>
  <c r="H28" i="37"/>
  <c r="G27" i="39"/>
  <c r="I27" i="39" s="1"/>
  <c r="D30" i="30"/>
  <c r="G29" i="30"/>
  <c r="H29" i="30"/>
  <c r="E30" i="30"/>
  <c r="G26" i="41"/>
  <c r="I26" i="41" s="1"/>
  <c r="H30" i="31"/>
  <c r="D31" i="31"/>
  <c r="G30" i="31"/>
  <c r="E31" i="31"/>
  <c r="D27" i="42"/>
  <c r="E27" i="42"/>
  <c r="I37" i="9"/>
  <c r="H36" i="6"/>
  <c r="G36" i="6"/>
  <c r="D37" i="6"/>
  <c r="E37" i="6"/>
  <c r="H25" i="43"/>
  <c r="D40" i="10"/>
  <c r="H39" i="10"/>
  <c r="G39" i="10"/>
  <c r="E40" i="10"/>
  <c r="E27" i="46"/>
  <c r="F27" i="46" s="1"/>
  <c r="G109" i="13"/>
  <c r="D110" i="13"/>
  <c r="E110" i="13" s="1"/>
  <c r="J108" i="13"/>
  <c r="H27" i="54" l="1"/>
  <c r="H28" i="55"/>
  <c r="I28" i="55" s="1"/>
  <c r="B28" i="54"/>
  <c r="F28" i="54"/>
  <c r="G28" i="54" s="1"/>
  <c r="I27" i="54"/>
  <c r="D29" i="55"/>
  <c r="E29" i="55"/>
  <c r="J109" i="54"/>
  <c r="G110" i="54"/>
  <c r="D111" i="54"/>
  <c r="E111" i="54" s="1"/>
  <c r="J110" i="55"/>
  <c r="G111" i="55"/>
  <c r="D112" i="55"/>
  <c r="E112" i="55" s="1"/>
  <c r="D112" i="49"/>
  <c r="B112" i="49" s="1"/>
  <c r="G111" i="49"/>
  <c r="J110" i="49"/>
  <c r="G112" i="48"/>
  <c r="D113" i="48"/>
  <c r="B113" i="48" s="1"/>
  <c r="F27" i="49"/>
  <c r="G27" i="49" s="1"/>
  <c r="B27" i="49"/>
  <c r="F26" i="47"/>
  <c r="G26" i="47" s="1"/>
  <c r="B26" i="47"/>
  <c r="F26" i="48"/>
  <c r="B26" i="48"/>
  <c r="I26" i="49"/>
  <c r="I25" i="43"/>
  <c r="G27" i="13"/>
  <c r="H27" i="13"/>
  <c r="D28" i="13"/>
  <c r="I27" i="44"/>
  <c r="E28" i="44"/>
  <c r="F28" i="44" s="1"/>
  <c r="G28" i="44" s="1"/>
  <c r="B28" i="44"/>
  <c r="I39" i="10"/>
  <c r="I30" i="31"/>
  <c r="I34" i="22"/>
  <c r="I35" i="4"/>
  <c r="I28" i="37"/>
  <c r="I32" i="24"/>
  <c r="I37" i="11"/>
  <c r="F32" i="27"/>
  <c r="B32" i="27"/>
  <c r="I33" i="23"/>
  <c r="I30" i="29"/>
  <c r="I30" i="28"/>
  <c r="I35" i="3"/>
  <c r="I31" i="27"/>
  <c r="D28" i="46"/>
  <c r="E28" i="46" s="1"/>
  <c r="H27" i="46"/>
  <c r="G27" i="46"/>
  <c r="B40" i="10"/>
  <c r="F40" i="10"/>
  <c r="F27" i="42"/>
  <c r="H27" i="42" s="1"/>
  <c r="B27" i="42"/>
  <c r="B28" i="39"/>
  <c r="F28" i="39"/>
  <c r="B30" i="30"/>
  <c r="F30" i="30"/>
  <c r="F35" i="22"/>
  <c r="B35" i="22"/>
  <c r="B34" i="23"/>
  <c r="F34" i="23"/>
  <c r="B36" i="4"/>
  <c r="F36" i="4"/>
  <c r="I27" i="45"/>
  <c r="B27" i="40"/>
  <c r="F27" i="40"/>
  <c r="G27" i="40" s="1"/>
  <c r="B36" i="5"/>
  <c r="F36" i="5"/>
  <c r="I36" i="6"/>
  <c r="I38" i="7"/>
  <c r="I34" i="25"/>
  <c r="I36" i="8"/>
  <c r="F31" i="29"/>
  <c r="B31" i="29"/>
  <c r="B31" i="28"/>
  <c r="F31" i="28"/>
  <c r="F28" i="38"/>
  <c r="G28" i="38" s="1"/>
  <c r="B28" i="38"/>
  <c r="F26" i="43"/>
  <c r="H26" i="43" s="1"/>
  <c r="B26" i="43"/>
  <c r="F38" i="11"/>
  <c r="B38" i="11"/>
  <c r="B39" i="7"/>
  <c r="F39" i="7"/>
  <c r="B37" i="6"/>
  <c r="F37" i="6"/>
  <c r="F31" i="31"/>
  <c r="B31" i="31"/>
  <c r="I29" i="30"/>
  <c r="F33" i="24"/>
  <c r="B33" i="24"/>
  <c r="D39" i="9"/>
  <c r="E39" i="9"/>
  <c r="G38" i="9"/>
  <c r="H38" i="9"/>
  <c r="F35" i="25"/>
  <c r="B35" i="25"/>
  <c r="F27" i="41"/>
  <c r="G27" i="41" s="1"/>
  <c r="B27" i="41"/>
  <c r="B36" i="3"/>
  <c r="F36" i="3"/>
  <c r="B29" i="37"/>
  <c r="F29" i="37"/>
  <c r="H29" i="37" s="1"/>
  <c r="F37" i="8"/>
  <c r="B37" i="8"/>
  <c r="I35" i="5"/>
  <c r="B28" i="45"/>
  <c r="F28" i="45"/>
  <c r="H28" i="45" s="1"/>
  <c r="F110" i="13"/>
  <c r="B110" i="13"/>
  <c r="H109" i="13"/>
  <c r="I109" i="13"/>
  <c r="H28" i="54" l="1"/>
  <c r="I28" i="54"/>
  <c r="F29" i="55"/>
  <c r="B29" i="55"/>
  <c r="G29" i="55"/>
  <c r="H29" i="55"/>
  <c r="I29" i="55" s="1"/>
  <c r="D30" i="55"/>
  <c r="E30" i="55"/>
  <c r="D29" i="54"/>
  <c r="E29" i="54"/>
  <c r="B111" i="54"/>
  <c r="F111" i="54"/>
  <c r="H110" i="54"/>
  <c r="I110" i="54"/>
  <c r="J110" i="54" s="1"/>
  <c r="B112" i="55"/>
  <c r="F112" i="55"/>
  <c r="I111" i="55"/>
  <c r="H111" i="55"/>
  <c r="E112" i="49"/>
  <c r="F112" i="49" s="1"/>
  <c r="H111" i="49"/>
  <c r="I111" i="49"/>
  <c r="J111" i="49" s="1"/>
  <c r="H27" i="49"/>
  <c r="I27" i="49" s="1"/>
  <c r="H112" i="48"/>
  <c r="I112" i="48"/>
  <c r="J112" i="48" s="1"/>
  <c r="E113" i="48"/>
  <c r="F113" i="48" s="1"/>
  <c r="D27" i="48"/>
  <c r="E27" i="48" s="1"/>
  <c r="G26" i="48"/>
  <c r="H26" i="48"/>
  <c r="H26" i="47"/>
  <c r="I26" i="47" s="1"/>
  <c r="D27" i="47"/>
  <c r="E27" i="47" s="1"/>
  <c r="D28" i="49"/>
  <c r="E28" i="49"/>
  <c r="I27" i="13"/>
  <c r="E28" i="13"/>
  <c r="F28" i="13" s="1"/>
  <c r="B28" i="13"/>
  <c r="H28" i="44"/>
  <c r="I28" i="44" s="1"/>
  <c r="D29" i="44"/>
  <c r="I38" i="9"/>
  <c r="H28" i="38"/>
  <c r="I28" i="38" s="1"/>
  <c r="G29" i="37"/>
  <c r="I29" i="37" s="1"/>
  <c r="H27" i="41"/>
  <c r="I27" i="41" s="1"/>
  <c r="H27" i="40"/>
  <c r="I27" i="40" s="1"/>
  <c r="D33" i="27"/>
  <c r="E33" i="27"/>
  <c r="G32" i="27"/>
  <c r="H32" i="27"/>
  <c r="H36" i="3"/>
  <c r="G36" i="3"/>
  <c r="D37" i="3"/>
  <c r="E37" i="3"/>
  <c r="G36" i="5"/>
  <c r="H36" i="5"/>
  <c r="D37" i="5"/>
  <c r="E37" i="5"/>
  <c r="H35" i="22"/>
  <c r="G35" i="22"/>
  <c r="D36" i="22"/>
  <c r="E36" i="22"/>
  <c r="D29" i="45"/>
  <c r="E29" i="45" s="1"/>
  <c r="G33" i="24"/>
  <c r="D34" i="24"/>
  <c r="H33" i="24"/>
  <c r="E34" i="24"/>
  <c r="D32" i="31"/>
  <c r="G31" i="31"/>
  <c r="H31" i="31"/>
  <c r="E32" i="31"/>
  <c r="G38" i="11"/>
  <c r="D39" i="11"/>
  <c r="H38" i="11"/>
  <c r="E39" i="11"/>
  <c r="D27" i="43"/>
  <c r="E27" i="43"/>
  <c r="G31" i="29"/>
  <c r="D32" i="29"/>
  <c r="H31" i="29"/>
  <c r="E32" i="29"/>
  <c r="H34" i="23"/>
  <c r="G34" i="23"/>
  <c r="D35" i="23"/>
  <c r="E35" i="23"/>
  <c r="H30" i="30"/>
  <c r="G30" i="30"/>
  <c r="D31" i="30"/>
  <c r="E31" i="30"/>
  <c r="G40" i="10"/>
  <c r="H40" i="10"/>
  <c r="E41" i="10"/>
  <c r="D41" i="10"/>
  <c r="I27" i="46"/>
  <c r="D29" i="39"/>
  <c r="E29" i="39"/>
  <c r="G28" i="45"/>
  <c r="I28" i="45" s="1"/>
  <c r="E30" i="37"/>
  <c r="D30" i="37"/>
  <c r="G37" i="6"/>
  <c r="D38" i="6"/>
  <c r="H37" i="6"/>
  <c r="E38" i="6"/>
  <c r="H39" i="7"/>
  <c r="D40" i="7"/>
  <c r="G39" i="7"/>
  <c r="E40" i="7"/>
  <c r="H31" i="28"/>
  <c r="G31" i="28"/>
  <c r="D32" i="28"/>
  <c r="E32" i="28"/>
  <c r="H28" i="39"/>
  <c r="D28" i="42"/>
  <c r="E28" i="42"/>
  <c r="H37" i="8"/>
  <c r="D38" i="8"/>
  <c r="G37" i="8"/>
  <c r="E38" i="8"/>
  <c r="D28" i="41"/>
  <c r="E28" i="41"/>
  <c r="H35" i="25"/>
  <c r="G35" i="25"/>
  <c r="D36" i="25"/>
  <c r="E36" i="25"/>
  <c r="F39" i="9"/>
  <c r="B39" i="9"/>
  <c r="G26" i="43"/>
  <c r="I26" i="43" s="1"/>
  <c r="D29" i="38"/>
  <c r="E29" i="38"/>
  <c r="D28" i="40"/>
  <c r="E28" i="40"/>
  <c r="G36" i="4"/>
  <c r="D37" i="4"/>
  <c r="H36" i="4"/>
  <c r="E37" i="4"/>
  <c r="G28" i="39"/>
  <c r="G27" i="42"/>
  <c r="I27" i="42" s="1"/>
  <c r="F28" i="46"/>
  <c r="G28" i="46" s="1"/>
  <c r="B28" i="46"/>
  <c r="J109" i="13"/>
  <c r="G110" i="13"/>
  <c r="D111" i="13"/>
  <c r="E111" i="13" s="1"/>
  <c r="F30" i="55" l="1"/>
  <c r="D31" i="55" s="1"/>
  <c r="B31" i="55" s="1"/>
  <c r="J111" i="55"/>
  <c r="B29" i="54"/>
  <c r="F29" i="54"/>
  <c r="G29" i="54"/>
  <c r="H29" i="54"/>
  <c r="I29" i="54" s="1"/>
  <c r="B30" i="55"/>
  <c r="G112" i="55"/>
  <c r="D113" i="55"/>
  <c r="E113" i="55"/>
  <c r="D112" i="54"/>
  <c r="E112" i="54" s="1"/>
  <c r="G111" i="54"/>
  <c r="G112" i="49"/>
  <c r="D113" i="49"/>
  <c r="I26" i="48"/>
  <c r="D114" i="48"/>
  <c r="G113" i="48"/>
  <c r="F27" i="47"/>
  <c r="H27" i="47" s="1"/>
  <c r="B27" i="47"/>
  <c r="F28" i="49"/>
  <c r="H28" i="49" s="1"/>
  <c r="B28" i="49"/>
  <c r="B27" i="48"/>
  <c r="F27" i="48"/>
  <c r="H27" i="48" s="1"/>
  <c r="H28" i="13"/>
  <c r="G28" i="13"/>
  <c r="D29" i="13"/>
  <c r="B29" i="44"/>
  <c r="E29" i="44"/>
  <c r="F29" i="44" s="1"/>
  <c r="I36" i="4"/>
  <c r="I36" i="5"/>
  <c r="I35" i="25"/>
  <c r="I30" i="30"/>
  <c r="I34" i="23"/>
  <c r="I32" i="27"/>
  <c r="I39" i="7"/>
  <c r="B33" i="27"/>
  <c r="F33" i="27"/>
  <c r="I31" i="29"/>
  <c r="I31" i="31"/>
  <c r="I36" i="3"/>
  <c r="I28" i="39"/>
  <c r="I31" i="28"/>
  <c r="F37" i="4"/>
  <c r="B37" i="4"/>
  <c r="E40" i="9"/>
  <c r="H39" i="9"/>
  <c r="D40" i="9"/>
  <c r="G39" i="9"/>
  <c r="B31" i="30"/>
  <c r="F31" i="30"/>
  <c r="B27" i="43"/>
  <c r="F27" i="43"/>
  <c r="H27" i="43" s="1"/>
  <c r="B37" i="3"/>
  <c r="F37" i="3"/>
  <c r="F29" i="38"/>
  <c r="B29" i="38"/>
  <c r="F38" i="8"/>
  <c r="B38" i="8"/>
  <c r="B30" i="37"/>
  <c r="F30" i="37"/>
  <c r="H30" i="37" s="1"/>
  <c r="I40" i="10"/>
  <c r="B32" i="29"/>
  <c r="F32" i="29"/>
  <c r="I35" i="22"/>
  <c r="D29" i="46"/>
  <c r="E29" i="46" s="1"/>
  <c r="H28" i="46"/>
  <c r="I28" i="46" s="1"/>
  <c r="B36" i="25"/>
  <c r="F36" i="25"/>
  <c r="B28" i="41"/>
  <c r="F28" i="41"/>
  <c r="G28" i="41" s="1"/>
  <c r="I37" i="8"/>
  <c r="B32" i="28"/>
  <c r="F32" i="28"/>
  <c r="I37" i="6"/>
  <c r="I38" i="11"/>
  <c r="I33" i="24"/>
  <c r="F29" i="39"/>
  <c r="G29" i="39" s="1"/>
  <c r="B29" i="39"/>
  <c r="B35" i="23"/>
  <c r="F35" i="23"/>
  <c r="B32" i="31"/>
  <c r="F32" i="31"/>
  <c r="B28" i="40"/>
  <c r="F28" i="40"/>
  <c r="H28" i="40" s="1"/>
  <c r="B28" i="42"/>
  <c r="F28" i="42"/>
  <c r="G28" i="42" s="1"/>
  <c r="B40" i="7"/>
  <c r="F40" i="7"/>
  <c r="F38" i="6"/>
  <c r="B38" i="6"/>
  <c r="B41" i="10"/>
  <c r="F41" i="10"/>
  <c r="F39" i="11"/>
  <c r="B39" i="11"/>
  <c r="F34" i="24"/>
  <c r="B34" i="24"/>
  <c r="F29" i="45"/>
  <c r="B29" i="45"/>
  <c r="B36" i="22"/>
  <c r="F36" i="22"/>
  <c r="F37" i="5"/>
  <c r="B37" i="5"/>
  <c r="H110" i="13"/>
  <c r="I110" i="13"/>
  <c r="B111" i="13"/>
  <c r="F111" i="13"/>
  <c r="E31" i="55" l="1"/>
  <c r="F31" i="55" s="1"/>
  <c r="D32" i="55" s="1"/>
  <c r="B32" i="55" s="1"/>
  <c r="H30" i="55"/>
  <c r="G30" i="55"/>
  <c r="D30" i="54"/>
  <c r="E30" i="54"/>
  <c r="H111" i="54"/>
  <c r="I111" i="54"/>
  <c r="J111" i="54" s="1"/>
  <c r="B112" i="54"/>
  <c r="F112" i="54"/>
  <c r="B113" i="55"/>
  <c r="F113" i="55"/>
  <c r="I112" i="55"/>
  <c r="H112" i="55"/>
  <c r="G27" i="48"/>
  <c r="I27" i="48" s="1"/>
  <c r="E113" i="49"/>
  <c r="F113" i="49" s="1"/>
  <c r="B113" i="49"/>
  <c r="H112" i="49"/>
  <c r="I112" i="49"/>
  <c r="G28" i="49"/>
  <c r="I28" i="49" s="1"/>
  <c r="G27" i="47"/>
  <c r="I27" i="47" s="1"/>
  <c r="E114" i="48"/>
  <c r="F114" i="48" s="1"/>
  <c r="B114" i="48"/>
  <c r="I113" i="48"/>
  <c r="H113" i="48"/>
  <c r="D28" i="48"/>
  <c r="E28" i="48" s="1"/>
  <c r="D29" i="49"/>
  <c r="E29" i="49"/>
  <c r="D28" i="47"/>
  <c r="E28" i="47" s="1"/>
  <c r="I28" i="13"/>
  <c r="E29" i="13"/>
  <c r="F29" i="13" s="1"/>
  <c r="B29" i="13"/>
  <c r="H29" i="44"/>
  <c r="D30" i="44"/>
  <c r="G29" i="44"/>
  <c r="G30" i="37"/>
  <c r="I30" i="37" s="1"/>
  <c r="H28" i="41"/>
  <c r="I28" i="41" s="1"/>
  <c r="G27" i="43"/>
  <c r="I27" i="43" s="1"/>
  <c r="H29" i="39"/>
  <c r="I29" i="39" s="1"/>
  <c r="E34" i="27"/>
  <c r="G33" i="27"/>
  <c r="H33" i="27"/>
  <c r="D34" i="27"/>
  <c r="D30" i="45"/>
  <c r="E30" i="45" s="1"/>
  <c r="G39" i="11"/>
  <c r="H39" i="11"/>
  <c r="D40" i="11"/>
  <c r="E40" i="11"/>
  <c r="D39" i="6"/>
  <c r="H38" i="6"/>
  <c r="G38" i="6"/>
  <c r="E39" i="6"/>
  <c r="D29" i="42"/>
  <c r="E29" i="42"/>
  <c r="G32" i="29"/>
  <c r="D33" i="29"/>
  <c r="H32" i="29"/>
  <c r="E33" i="29"/>
  <c r="G38" i="8"/>
  <c r="D39" i="8"/>
  <c r="H38" i="8"/>
  <c r="E39" i="8"/>
  <c r="D30" i="38"/>
  <c r="E30" i="38"/>
  <c r="F40" i="9"/>
  <c r="B40" i="9"/>
  <c r="H37" i="4"/>
  <c r="D38" i="4"/>
  <c r="G37" i="4"/>
  <c r="E38" i="4"/>
  <c r="D33" i="31"/>
  <c r="H32" i="31"/>
  <c r="G32" i="31"/>
  <c r="E33" i="31"/>
  <c r="D33" i="28"/>
  <c r="G32" i="28"/>
  <c r="H32" i="28"/>
  <c r="E33" i="28"/>
  <c r="D38" i="5"/>
  <c r="H37" i="5"/>
  <c r="G37" i="5"/>
  <c r="E38" i="5"/>
  <c r="G29" i="45"/>
  <c r="H34" i="24"/>
  <c r="G34" i="24"/>
  <c r="D35" i="24"/>
  <c r="E35" i="24"/>
  <c r="G41" i="10"/>
  <c r="D42" i="10"/>
  <c r="E42" i="10" s="1"/>
  <c r="H41" i="10"/>
  <c r="D41" i="7"/>
  <c r="G40" i="7"/>
  <c r="H40" i="7"/>
  <c r="E41" i="7"/>
  <c r="D36" i="23"/>
  <c r="H35" i="23"/>
  <c r="G35" i="23"/>
  <c r="E36" i="23"/>
  <c r="D30" i="39"/>
  <c r="E30" i="39"/>
  <c r="E31" i="37"/>
  <c r="D31" i="37"/>
  <c r="H29" i="38"/>
  <c r="H37" i="3"/>
  <c r="D38" i="3"/>
  <c r="G37" i="3"/>
  <c r="E38" i="3"/>
  <c r="D28" i="43"/>
  <c r="E28" i="43"/>
  <c r="H31" i="30"/>
  <c r="D32" i="30"/>
  <c r="G31" i="30"/>
  <c r="E32" i="30"/>
  <c r="I39" i="9"/>
  <c r="D29" i="40"/>
  <c r="E29" i="40"/>
  <c r="H36" i="22"/>
  <c r="D37" i="22"/>
  <c r="G36" i="22"/>
  <c r="E37" i="22"/>
  <c r="H29" i="45"/>
  <c r="H28" i="42"/>
  <c r="I28" i="42" s="1"/>
  <c r="G28" i="40"/>
  <c r="I28" i="40" s="1"/>
  <c r="D29" i="41"/>
  <c r="E29" i="41"/>
  <c r="H36" i="25"/>
  <c r="D37" i="25"/>
  <c r="G36" i="25"/>
  <c r="E37" i="25"/>
  <c r="F29" i="46"/>
  <c r="G29" i="46" s="1"/>
  <c r="B29" i="46"/>
  <c r="G29" i="38"/>
  <c r="J110" i="13"/>
  <c r="G111" i="13"/>
  <c r="D112" i="13"/>
  <c r="E112" i="13" s="1"/>
  <c r="J112" i="55" l="1"/>
  <c r="I30" i="55"/>
  <c r="E32" i="55"/>
  <c r="F32" i="55" s="1"/>
  <c r="G31" i="55"/>
  <c r="H31" i="55"/>
  <c r="I31" i="55" s="1"/>
  <c r="F30" i="54"/>
  <c r="G30" i="54" s="1"/>
  <c r="B30" i="54"/>
  <c r="G112" i="54"/>
  <c r="D113" i="54"/>
  <c r="E113" i="54"/>
  <c r="D114" i="55"/>
  <c r="B114" i="55" s="1"/>
  <c r="G113" i="55"/>
  <c r="E114" i="55"/>
  <c r="F114" i="55" s="1"/>
  <c r="G113" i="49"/>
  <c r="D114" i="49"/>
  <c r="J112" i="49"/>
  <c r="J113" i="48"/>
  <c r="D115" i="48"/>
  <c r="G114" i="48"/>
  <c r="F29" i="49"/>
  <c r="H29" i="49" s="1"/>
  <c r="B29" i="49"/>
  <c r="B28" i="47"/>
  <c r="F28" i="47"/>
  <c r="H28" i="47" s="1"/>
  <c r="F28" i="48"/>
  <c r="G28" i="48" s="1"/>
  <c r="B28" i="48"/>
  <c r="I29" i="45"/>
  <c r="H29" i="13"/>
  <c r="D30" i="13"/>
  <c r="G29" i="13"/>
  <c r="I39" i="11"/>
  <c r="I32" i="28"/>
  <c r="E30" i="44"/>
  <c r="F30" i="44" s="1"/>
  <c r="B30" i="44"/>
  <c r="I29" i="44"/>
  <c r="I36" i="22"/>
  <c r="I37" i="3"/>
  <c r="I34" i="24"/>
  <c r="I37" i="5"/>
  <c r="H29" i="46"/>
  <c r="I29" i="46" s="1"/>
  <c r="I40" i="7"/>
  <c r="I33" i="27"/>
  <c r="F34" i="27"/>
  <c r="B34" i="27"/>
  <c r="I37" i="4"/>
  <c r="B38" i="3"/>
  <c r="F38" i="3"/>
  <c r="F30" i="39"/>
  <c r="H30" i="39" s="1"/>
  <c r="B30" i="39"/>
  <c r="F30" i="38"/>
  <c r="H30" i="38" s="1"/>
  <c r="B30" i="38"/>
  <c r="B37" i="25"/>
  <c r="F37" i="25"/>
  <c r="F28" i="43"/>
  <c r="H28" i="43" s="1"/>
  <c r="B28" i="43"/>
  <c r="I41" i="10"/>
  <c r="F38" i="5"/>
  <c r="B38" i="5"/>
  <c r="I32" i="31"/>
  <c r="B40" i="11"/>
  <c r="F40" i="11"/>
  <c r="B36" i="23"/>
  <c r="F36" i="23"/>
  <c r="D30" i="46"/>
  <c r="E30" i="46" s="1"/>
  <c r="I36" i="25"/>
  <c r="B32" i="30"/>
  <c r="F32" i="30"/>
  <c r="I29" i="38"/>
  <c r="F42" i="10"/>
  <c r="B42" i="10"/>
  <c r="B35" i="24"/>
  <c r="F35" i="24"/>
  <c r="F33" i="28"/>
  <c r="B33" i="28"/>
  <c r="F33" i="31"/>
  <c r="B33" i="31"/>
  <c r="G40" i="9"/>
  <c r="E41" i="9"/>
  <c r="H40" i="9"/>
  <c r="D41" i="9"/>
  <c r="I38" i="8"/>
  <c r="I38" i="6"/>
  <c r="F30" i="45"/>
  <c r="G30" i="45" s="1"/>
  <c r="B30" i="45"/>
  <c r="B29" i="41"/>
  <c r="F29" i="41"/>
  <c r="F41" i="7"/>
  <c r="B41" i="7"/>
  <c r="B33" i="29"/>
  <c r="F33" i="29"/>
  <c r="B37" i="22"/>
  <c r="F37" i="22"/>
  <c r="F29" i="40"/>
  <c r="H29" i="40" s="1"/>
  <c r="B29" i="40"/>
  <c r="I31" i="30"/>
  <c r="F31" i="37"/>
  <c r="H31" i="37" s="1"/>
  <c r="B31" i="37"/>
  <c r="I35" i="23"/>
  <c r="B38" i="4"/>
  <c r="F38" i="4"/>
  <c r="F39" i="8"/>
  <c r="B39" i="8"/>
  <c r="I32" i="29"/>
  <c r="B29" i="42"/>
  <c r="F29" i="42"/>
  <c r="G29" i="42" s="1"/>
  <c r="F39" i="6"/>
  <c r="B39" i="6"/>
  <c r="B112" i="13"/>
  <c r="F112" i="13"/>
  <c r="I111" i="13"/>
  <c r="H111" i="13"/>
  <c r="G32" i="55" l="1"/>
  <c r="D33" i="55"/>
  <c r="B33" i="55" s="1"/>
  <c r="H32" i="55"/>
  <c r="I32" i="55" s="1"/>
  <c r="E33" i="55"/>
  <c r="H30" i="54"/>
  <c r="I30" i="54"/>
  <c r="D31" i="54"/>
  <c r="E31" i="54"/>
  <c r="I113" i="55"/>
  <c r="H113" i="55"/>
  <c r="B113" i="54"/>
  <c r="F113" i="54"/>
  <c r="G114" i="55"/>
  <c r="D115" i="55"/>
  <c r="E115" i="55"/>
  <c r="H112" i="54"/>
  <c r="I112" i="54"/>
  <c r="E114" i="49"/>
  <c r="F114" i="49" s="1"/>
  <c r="B114" i="49"/>
  <c r="I113" i="49"/>
  <c r="H113" i="49"/>
  <c r="G28" i="47"/>
  <c r="I28" i="47" s="1"/>
  <c r="I114" i="48"/>
  <c r="H114" i="48"/>
  <c r="E115" i="48"/>
  <c r="F115" i="48" s="1"/>
  <c r="B115" i="48"/>
  <c r="D30" i="49"/>
  <c r="E30" i="49"/>
  <c r="D29" i="47"/>
  <c r="E29" i="47" s="1"/>
  <c r="H28" i="48"/>
  <c r="I28" i="48" s="1"/>
  <c r="D29" i="48"/>
  <c r="E29" i="48"/>
  <c r="G29" i="49"/>
  <c r="I29" i="49" s="1"/>
  <c r="E30" i="13"/>
  <c r="F30" i="13" s="1"/>
  <c r="B30" i="13"/>
  <c r="I29" i="13"/>
  <c r="G30" i="44"/>
  <c r="H30" i="44"/>
  <c r="D31" i="44"/>
  <c r="G29" i="40"/>
  <c r="I29" i="40" s="1"/>
  <c r="G34" i="27"/>
  <c r="E35" i="27"/>
  <c r="H34" i="27"/>
  <c r="D35" i="27"/>
  <c r="D38" i="22"/>
  <c r="G37" i="22"/>
  <c r="H37" i="22"/>
  <c r="E38" i="22"/>
  <c r="G33" i="28"/>
  <c r="D34" i="28"/>
  <c r="H33" i="28"/>
  <c r="E34" i="28"/>
  <c r="E43" i="10"/>
  <c r="G42" i="10"/>
  <c r="D43" i="10"/>
  <c r="H42" i="10"/>
  <c r="D38" i="25"/>
  <c r="G37" i="25"/>
  <c r="H37" i="25"/>
  <c r="E38" i="25"/>
  <c r="D30" i="42"/>
  <c r="E30" i="42"/>
  <c r="D32" i="37"/>
  <c r="E32" i="37"/>
  <c r="H41" i="7"/>
  <c r="D42" i="7"/>
  <c r="E42" i="7" s="1"/>
  <c r="G41" i="7"/>
  <c r="B41" i="9"/>
  <c r="F41" i="9"/>
  <c r="G35" i="24"/>
  <c r="D36" i="24"/>
  <c r="H35" i="24"/>
  <c r="E36" i="24"/>
  <c r="D29" i="43"/>
  <c r="E29" i="43"/>
  <c r="D31" i="38"/>
  <c r="E31" i="38"/>
  <c r="D31" i="39"/>
  <c r="E31" i="39"/>
  <c r="D30" i="41"/>
  <c r="E30" i="41"/>
  <c r="D31" i="45"/>
  <c r="E31" i="45" s="1"/>
  <c r="G36" i="23"/>
  <c r="D37" i="23"/>
  <c r="H36" i="23"/>
  <c r="E37" i="23"/>
  <c r="D39" i="5"/>
  <c r="H38" i="5"/>
  <c r="G38" i="5"/>
  <c r="E39" i="5"/>
  <c r="D40" i="8"/>
  <c r="G39" i="8"/>
  <c r="H39" i="8"/>
  <c r="E40" i="8"/>
  <c r="G31" i="37"/>
  <c r="I31" i="37" s="1"/>
  <c r="H33" i="29"/>
  <c r="D34" i="29"/>
  <c r="G33" i="29"/>
  <c r="E34" i="29"/>
  <c r="H29" i="41"/>
  <c r="I40" i="9"/>
  <c r="D34" i="31"/>
  <c r="G33" i="31"/>
  <c r="H33" i="31"/>
  <c r="E34" i="31"/>
  <c r="G32" i="30"/>
  <c r="H32" i="30"/>
  <c r="D33" i="30"/>
  <c r="E33" i="30"/>
  <c r="F30" i="46"/>
  <c r="H30" i="46" s="1"/>
  <c r="B30" i="46"/>
  <c r="H40" i="11"/>
  <c r="D41" i="11"/>
  <c r="G40" i="11"/>
  <c r="E41" i="11"/>
  <c r="G38" i="3"/>
  <c r="H38" i="3"/>
  <c r="D39" i="3"/>
  <c r="E39" i="3"/>
  <c r="H39" i="6"/>
  <c r="G39" i="6"/>
  <c r="D40" i="6"/>
  <c r="E40" i="6"/>
  <c r="H29" i="42"/>
  <c r="I29" i="42" s="1"/>
  <c r="G38" i="4"/>
  <c r="H38" i="4"/>
  <c r="D39" i="4"/>
  <c r="E39" i="4"/>
  <c r="D30" i="40"/>
  <c r="E30" i="40"/>
  <c r="G29" i="41"/>
  <c r="H30" i="45"/>
  <c r="I30" i="45" s="1"/>
  <c r="G28" i="43"/>
  <c r="I28" i="43" s="1"/>
  <c r="G30" i="38"/>
  <c r="I30" i="38" s="1"/>
  <c r="G30" i="39"/>
  <c r="I30" i="39" s="1"/>
  <c r="J111" i="13"/>
  <c r="G112" i="13"/>
  <c r="D113" i="13"/>
  <c r="E113" i="13" s="1"/>
  <c r="F33" i="55" l="1"/>
  <c r="G33" i="55"/>
  <c r="H33" i="55"/>
  <c r="I33" i="55" s="1"/>
  <c r="D34" i="55"/>
  <c r="E34" i="55"/>
  <c r="F31" i="54"/>
  <c r="H31" i="54" s="1"/>
  <c r="B31" i="54"/>
  <c r="H114" i="55"/>
  <c r="I114" i="55"/>
  <c r="B115" i="55"/>
  <c r="F115" i="55"/>
  <c r="G113" i="54"/>
  <c r="D114" i="54"/>
  <c r="E114" i="54" s="1"/>
  <c r="J112" i="54"/>
  <c r="J113" i="55"/>
  <c r="G114" i="49"/>
  <c r="D115" i="49"/>
  <c r="J113" i="49"/>
  <c r="G115" i="48"/>
  <c r="D116" i="48"/>
  <c r="J114" i="48"/>
  <c r="B29" i="48"/>
  <c r="F29" i="48"/>
  <c r="H29" i="48" s="1"/>
  <c r="B30" i="49"/>
  <c r="F30" i="49"/>
  <c r="G30" i="49" s="1"/>
  <c r="F29" i="47"/>
  <c r="H29" i="47" s="1"/>
  <c r="B29" i="47"/>
  <c r="I30" i="44"/>
  <c r="H30" i="13"/>
  <c r="G30" i="13"/>
  <c r="D31" i="13"/>
  <c r="E31" i="44"/>
  <c r="F31" i="44" s="1"/>
  <c r="B31" i="44"/>
  <c r="I41" i="7"/>
  <c r="I38" i="3"/>
  <c r="I35" i="24"/>
  <c r="I40" i="11"/>
  <c r="I38" i="5"/>
  <c r="F35" i="27"/>
  <c r="B35" i="27"/>
  <c r="I32" i="30"/>
  <c r="I37" i="25"/>
  <c r="I33" i="28"/>
  <c r="I37" i="22"/>
  <c r="I34" i="27"/>
  <c r="I39" i="6"/>
  <c r="D31" i="46"/>
  <c r="F34" i="31"/>
  <c r="B34" i="31"/>
  <c r="B39" i="5"/>
  <c r="F39" i="5"/>
  <c r="B30" i="41"/>
  <c r="F30" i="41"/>
  <c r="G30" i="41" s="1"/>
  <c r="B31" i="38"/>
  <c r="F31" i="38"/>
  <c r="G31" i="38" s="1"/>
  <c r="B30" i="42"/>
  <c r="F30" i="42"/>
  <c r="H30" i="42" s="1"/>
  <c r="B34" i="28"/>
  <c r="F34" i="28"/>
  <c r="F30" i="40"/>
  <c r="B30" i="40"/>
  <c r="F41" i="11"/>
  <c r="B41" i="11"/>
  <c r="F40" i="8"/>
  <c r="B40" i="8"/>
  <c r="B42" i="7"/>
  <c r="F42" i="7"/>
  <c r="F39" i="4"/>
  <c r="B39" i="4"/>
  <c r="G30" i="46"/>
  <c r="I30" i="46" s="1"/>
  <c r="F34" i="29"/>
  <c r="B34" i="29"/>
  <c r="I39" i="8"/>
  <c r="B36" i="24"/>
  <c r="F36" i="24"/>
  <c r="F38" i="25"/>
  <c r="B38" i="25"/>
  <c r="B38" i="22"/>
  <c r="F38" i="22"/>
  <c r="F37" i="23"/>
  <c r="B37" i="23"/>
  <c r="G41" i="9"/>
  <c r="D42" i="9"/>
  <c r="E42" i="9" s="1"/>
  <c r="H41" i="9"/>
  <c r="B43" i="10"/>
  <c r="F43" i="10"/>
  <c r="I38" i="4"/>
  <c r="B40" i="6"/>
  <c r="F40" i="6"/>
  <c r="F39" i="3"/>
  <c r="B39" i="3"/>
  <c r="F33" i="30"/>
  <c r="B33" i="30"/>
  <c r="I33" i="31"/>
  <c r="I29" i="41"/>
  <c r="I33" i="29"/>
  <c r="I36" i="23"/>
  <c r="F31" i="45"/>
  <c r="H31" i="45" s="1"/>
  <c r="B31" i="45"/>
  <c r="B31" i="39"/>
  <c r="F31" i="39"/>
  <c r="G31" i="39" s="1"/>
  <c r="F29" i="43"/>
  <c r="H29" i="43" s="1"/>
  <c r="B29" i="43"/>
  <c r="F32" i="37"/>
  <c r="B32" i="37"/>
  <c r="I42" i="10"/>
  <c r="I112" i="13"/>
  <c r="H112" i="13"/>
  <c r="B113" i="13"/>
  <c r="F113" i="13"/>
  <c r="G31" i="54" l="1"/>
  <c r="J114" i="55"/>
  <c r="D32" i="54"/>
  <c r="E32" i="54"/>
  <c r="I31" i="54"/>
  <c r="F34" i="55"/>
  <c r="H34" i="55" s="1"/>
  <c r="B34" i="55"/>
  <c r="G34" i="55"/>
  <c r="H113" i="54"/>
  <c r="I113" i="54"/>
  <c r="G115" i="55"/>
  <c r="D116" i="55"/>
  <c r="E116" i="55" s="1"/>
  <c r="B114" i="54"/>
  <c r="F114" i="54"/>
  <c r="B115" i="49"/>
  <c r="I114" i="49"/>
  <c r="H114" i="49"/>
  <c r="E115" i="49"/>
  <c r="F115" i="49" s="1"/>
  <c r="G29" i="47"/>
  <c r="I29" i="47" s="1"/>
  <c r="H30" i="49"/>
  <c r="I30" i="49" s="1"/>
  <c r="G29" i="48"/>
  <c r="I29" i="48" s="1"/>
  <c r="E116" i="48"/>
  <c r="F116" i="48" s="1"/>
  <c r="B116" i="48"/>
  <c r="H115" i="48"/>
  <c r="I115" i="48"/>
  <c r="D31" i="49"/>
  <c r="E31" i="49"/>
  <c r="D30" i="48"/>
  <c r="E30" i="48"/>
  <c r="D30" i="47"/>
  <c r="E30" i="47" s="1"/>
  <c r="I30" i="13"/>
  <c r="E31" i="13"/>
  <c r="F31" i="13" s="1"/>
  <c r="B31" i="13"/>
  <c r="D32" i="44"/>
  <c r="H31" i="44"/>
  <c r="G31" i="44"/>
  <c r="H31" i="38"/>
  <c r="I31" i="38" s="1"/>
  <c r="G31" i="45"/>
  <c r="I31" i="45" s="1"/>
  <c r="H35" i="27"/>
  <c r="D36" i="27"/>
  <c r="G35" i="27"/>
  <c r="D33" i="37"/>
  <c r="E33" i="37"/>
  <c r="D40" i="3"/>
  <c r="G39" i="3"/>
  <c r="H39" i="3"/>
  <c r="E40" i="3"/>
  <c r="D31" i="40"/>
  <c r="E31" i="40"/>
  <c r="G29" i="43"/>
  <c r="I29" i="43" s="1"/>
  <c r="D32" i="39"/>
  <c r="E32" i="39"/>
  <c r="H40" i="6"/>
  <c r="D41" i="6"/>
  <c r="E41" i="6" s="1"/>
  <c r="G40" i="6"/>
  <c r="G38" i="25"/>
  <c r="H38" i="25"/>
  <c r="D39" i="25"/>
  <c r="E39" i="25"/>
  <c r="G30" i="40"/>
  <c r="G30" i="42"/>
  <c r="I30" i="42" s="1"/>
  <c r="D35" i="31"/>
  <c r="G34" i="31"/>
  <c r="H34" i="31"/>
  <c r="E35" i="31"/>
  <c r="D44" i="10"/>
  <c r="E44" i="10"/>
  <c r="H43" i="10"/>
  <c r="G43" i="10"/>
  <c r="H32" i="37"/>
  <c r="H31" i="39"/>
  <c r="I31" i="39" s="1"/>
  <c r="G33" i="30"/>
  <c r="D34" i="30"/>
  <c r="H33" i="30"/>
  <c r="E34" i="30"/>
  <c r="I41" i="9"/>
  <c r="G38" i="22"/>
  <c r="H38" i="22"/>
  <c r="D39" i="22"/>
  <c r="E39" i="22"/>
  <c r="G36" i="24"/>
  <c r="D37" i="24"/>
  <c r="H36" i="24"/>
  <c r="E37" i="24"/>
  <c r="H39" i="4"/>
  <c r="G39" i="4"/>
  <c r="D40" i="4"/>
  <c r="E40" i="4" s="1"/>
  <c r="G40" i="8"/>
  <c r="D41" i="8"/>
  <c r="E41" i="8" s="1"/>
  <c r="H40" i="8"/>
  <c r="H34" i="28"/>
  <c r="G34" i="28"/>
  <c r="D35" i="28"/>
  <c r="E35" i="28"/>
  <c r="D31" i="41"/>
  <c r="E31" i="41"/>
  <c r="D40" i="5"/>
  <c r="G39" i="5"/>
  <c r="H39" i="5"/>
  <c r="E40" i="5"/>
  <c r="B31" i="46"/>
  <c r="D30" i="43"/>
  <c r="E30" i="43"/>
  <c r="H37" i="23"/>
  <c r="D38" i="23"/>
  <c r="G37" i="23"/>
  <c r="E38" i="23"/>
  <c r="G41" i="11"/>
  <c r="H41" i="11"/>
  <c r="D42" i="11"/>
  <c r="E42" i="11" s="1"/>
  <c r="D31" i="42"/>
  <c r="E31" i="42"/>
  <c r="G32" i="37"/>
  <c r="D32" i="45"/>
  <c r="B42" i="9"/>
  <c r="F42" i="9"/>
  <c r="G34" i="29"/>
  <c r="D35" i="29"/>
  <c r="H34" i="29"/>
  <c r="E35" i="29"/>
  <c r="D43" i="7"/>
  <c r="G42" i="7"/>
  <c r="H42" i="7"/>
  <c r="E43" i="7"/>
  <c r="H30" i="40"/>
  <c r="D32" i="38"/>
  <c r="E32" i="38"/>
  <c r="H30" i="41"/>
  <c r="I30" i="41" s="1"/>
  <c r="E31" i="46"/>
  <c r="F31" i="46" s="1"/>
  <c r="J112" i="13"/>
  <c r="G113" i="13"/>
  <c r="D114" i="13"/>
  <c r="J113" i="54" l="1"/>
  <c r="I34" i="55"/>
  <c r="D35" i="55"/>
  <c r="E35" i="55"/>
  <c r="B32" i="54"/>
  <c r="F32" i="54"/>
  <c r="H32" i="54" s="1"/>
  <c r="D115" i="54"/>
  <c r="E115" i="54" s="1"/>
  <c r="G114" i="54"/>
  <c r="B116" i="55"/>
  <c r="F116" i="55"/>
  <c r="H115" i="55"/>
  <c r="I115" i="55"/>
  <c r="G115" i="49"/>
  <c r="D116" i="49"/>
  <c r="B116" i="49" s="1"/>
  <c r="J114" i="49"/>
  <c r="D117" i="48"/>
  <c r="G116" i="48"/>
  <c r="J115" i="48"/>
  <c r="F30" i="48"/>
  <c r="G30" i="48" s="1"/>
  <c r="B30" i="48"/>
  <c r="F31" i="49"/>
  <c r="B31" i="49"/>
  <c r="F30" i="47"/>
  <c r="B30" i="47"/>
  <c r="H31" i="13"/>
  <c r="G31" i="13"/>
  <c r="D32" i="13"/>
  <c r="I38" i="25"/>
  <c r="I36" i="24"/>
  <c r="I38" i="22"/>
  <c r="I40" i="8"/>
  <c r="I39" i="3"/>
  <c r="I34" i="29"/>
  <c r="I33" i="30"/>
  <c r="I31" i="44"/>
  <c r="I34" i="31"/>
  <c r="E32" i="44"/>
  <c r="F32" i="44" s="1"/>
  <c r="B32" i="44"/>
  <c r="I30" i="40"/>
  <c r="I39" i="5"/>
  <c r="I40" i="6"/>
  <c r="I41" i="11"/>
  <c r="I43" i="10"/>
  <c r="I42" i="7"/>
  <c r="I32" i="37"/>
  <c r="B36" i="27"/>
  <c r="I35" i="27"/>
  <c r="E36" i="27"/>
  <c r="F36" i="27" s="1"/>
  <c r="D32" i="46"/>
  <c r="E32" i="46" s="1"/>
  <c r="H31" i="46"/>
  <c r="G31" i="46"/>
  <c r="F41" i="6"/>
  <c r="B41" i="6"/>
  <c r="B32" i="38"/>
  <c r="F32" i="38"/>
  <c r="H32" i="38" s="1"/>
  <c r="B35" i="29"/>
  <c r="F35" i="29"/>
  <c r="B32" i="45"/>
  <c r="B38" i="23"/>
  <c r="F38" i="23"/>
  <c r="I34" i="28"/>
  <c r="I39" i="4"/>
  <c r="B34" i="30"/>
  <c r="F34" i="30"/>
  <c r="B44" i="10"/>
  <c r="F44" i="10"/>
  <c r="F33" i="37"/>
  <c r="G33" i="37" s="1"/>
  <c r="B33" i="37"/>
  <c r="B30" i="43"/>
  <c r="F30" i="43"/>
  <c r="H30" i="43" s="1"/>
  <c r="F31" i="41"/>
  <c r="B31" i="41"/>
  <c r="B37" i="24"/>
  <c r="F37" i="24"/>
  <c r="B32" i="39"/>
  <c r="F32" i="39"/>
  <c r="G32" i="39" s="1"/>
  <c r="B43" i="7"/>
  <c r="F43" i="7"/>
  <c r="E32" i="45"/>
  <c r="F32" i="45" s="1"/>
  <c r="F31" i="42"/>
  <c r="H31" i="42" s="1"/>
  <c r="B31" i="42"/>
  <c r="I37" i="23"/>
  <c r="B40" i="5"/>
  <c r="F40" i="5"/>
  <c r="B42" i="11"/>
  <c r="F42" i="11"/>
  <c r="F41" i="8"/>
  <c r="B41" i="8"/>
  <c r="D43" i="9"/>
  <c r="E43" i="9" s="1"/>
  <c r="H42" i="9"/>
  <c r="G42" i="9"/>
  <c r="B35" i="28"/>
  <c r="F35" i="28"/>
  <c r="F40" i="4"/>
  <c r="B40" i="4"/>
  <c r="B39" i="22"/>
  <c r="F39" i="22"/>
  <c r="B35" i="31"/>
  <c r="F35" i="31"/>
  <c r="F39" i="25"/>
  <c r="B39" i="25"/>
  <c r="F31" i="40"/>
  <c r="B31" i="40"/>
  <c r="B40" i="3"/>
  <c r="F40" i="3"/>
  <c r="B114" i="13"/>
  <c r="H113" i="13"/>
  <c r="I113" i="13"/>
  <c r="E114" i="13"/>
  <c r="F114" i="13" s="1"/>
  <c r="G32" i="54" l="1"/>
  <c r="J115" i="55"/>
  <c r="I32" i="54"/>
  <c r="D33" i="54"/>
  <c r="E33" i="54"/>
  <c r="F35" i="55"/>
  <c r="H35" i="55" s="1"/>
  <c r="B35" i="55"/>
  <c r="G35" i="55"/>
  <c r="G116" i="55"/>
  <c r="D117" i="55"/>
  <c r="E117" i="55"/>
  <c r="I114" i="54"/>
  <c r="H114" i="54"/>
  <c r="B115" i="54"/>
  <c r="F115" i="54"/>
  <c r="E116" i="49"/>
  <c r="F116" i="49" s="1"/>
  <c r="D117" i="49" s="1"/>
  <c r="B117" i="49" s="1"/>
  <c r="H115" i="49"/>
  <c r="I115" i="49"/>
  <c r="E117" i="48"/>
  <c r="F117" i="48" s="1"/>
  <c r="B117" i="48"/>
  <c r="I116" i="48"/>
  <c r="H116" i="48"/>
  <c r="H30" i="47"/>
  <c r="D31" i="47"/>
  <c r="E31" i="47" s="1"/>
  <c r="D32" i="49"/>
  <c r="E32" i="49"/>
  <c r="G30" i="47"/>
  <c r="G31" i="49"/>
  <c r="H31" i="49"/>
  <c r="H30" i="48"/>
  <c r="I30" i="48" s="1"/>
  <c r="D31" i="48"/>
  <c r="E31" i="48"/>
  <c r="I31" i="13"/>
  <c r="E32" i="13"/>
  <c r="F32" i="13" s="1"/>
  <c r="B32" i="13"/>
  <c r="G32" i="44"/>
  <c r="D33" i="44"/>
  <c r="H32" i="44"/>
  <c r="G32" i="38"/>
  <c r="I32" i="38" s="1"/>
  <c r="H36" i="27"/>
  <c r="G36" i="27"/>
  <c r="D37" i="27"/>
  <c r="G31" i="42"/>
  <c r="I31" i="42" s="1"/>
  <c r="D33" i="45"/>
  <c r="G32" i="45"/>
  <c r="H32" i="45"/>
  <c r="D32" i="41"/>
  <c r="E32" i="41"/>
  <c r="D32" i="40"/>
  <c r="E32" i="40"/>
  <c r="D41" i="4"/>
  <c r="H40" i="4"/>
  <c r="G40" i="4"/>
  <c r="E41" i="4"/>
  <c r="I42" i="9"/>
  <c r="H41" i="8"/>
  <c r="D42" i="8"/>
  <c r="E42" i="8" s="1"/>
  <c r="G41" i="8"/>
  <c r="G40" i="5"/>
  <c r="H40" i="5"/>
  <c r="D41" i="5"/>
  <c r="E41" i="5" s="1"/>
  <c r="H43" i="7"/>
  <c r="G43" i="7"/>
  <c r="D44" i="7"/>
  <c r="E44" i="7"/>
  <c r="D33" i="39"/>
  <c r="E33" i="39"/>
  <c r="G31" i="41"/>
  <c r="D34" i="37"/>
  <c r="E34" i="37"/>
  <c r="I31" i="46"/>
  <c r="H31" i="40"/>
  <c r="H39" i="22"/>
  <c r="D40" i="22"/>
  <c r="E40" i="22" s="1"/>
  <c r="G39" i="22"/>
  <c r="D36" i="28"/>
  <c r="G35" i="28"/>
  <c r="H35" i="28"/>
  <c r="E36" i="28"/>
  <c r="B43" i="9"/>
  <c r="F43" i="9"/>
  <c r="G42" i="11"/>
  <c r="H42" i="11"/>
  <c r="D43" i="11"/>
  <c r="E43" i="11" s="1"/>
  <c r="H31" i="41"/>
  <c r="D45" i="10"/>
  <c r="H44" i="10"/>
  <c r="G44" i="10"/>
  <c r="E45" i="10"/>
  <c r="D35" i="30"/>
  <c r="G34" i="30"/>
  <c r="H34" i="30"/>
  <c r="E35" i="30"/>
  <c r="D39" i="23"/>
  <c r="E39" i="23" s="1"/>
  <c r="G38" i="23"/>
  <c r="H38" i="23"/>
  <c r="D41" i="3"/>
  <c r="E41" i="3" s="1"/>
  <c r="G40" i="3"/>
  <c r="H40" i="3"/>
  <c r="D36" i="31"/>
  <c r="G35" i="31"/>
  <c r="H35" i="31"/>
  <c r="E36" i="31"/>
  <c r="H37" i="24"/>
  <c r="D38" i="24"/>
  <c r="G37" i="24"/>
  <c r="E38" i="24"/>
  <c r="D31" i="43"/>
  <c r="E31" i="43"/>
  <c r="H35" i="29"/>
  <c r="G35" i="29"/>
  <c r="D36" i="29"/>
  <c r="E36" i="29"/>
  <c r="G31" i="40"/>
  <c r="D40" i="25"/>
  <c r="E40" i="25" s="1"/>
  <c r="H39" i="25"/>
  <c r="G39" i="25"/>
  <c r="D32" i="42"/>
  <c r="E32" i="42"/>
  <c r="H32" i="39"/>
  <c r="I32" i="39" s="1"/>
  <c r="G30" i="43"/>
  <c r="I30" i="43" s="1"/>
  <c r="H33" i="37"/>
  <c r="I33" i="37" s="1"/>
  <c r="D33" i="38"/>
  <c r="E33" i="38"/>
  <c r="G41" i="6"/>
  <c r="H41" i="6"/>
  <c r="D42" i="6"/>
  <c r="E42" i="6" s="1"/>
  <c r="F32" i="46"/>
  <c r="G32" i="46" s="1"/>
  <c r="B32" i="46"/>
  <c r="J113" i="13"/>
  <c r="G114" i="13"/>
  <c r="D115" i="13"/>
  <c r="E115" i="13" s="1"/>
  <c r="I35" i="55" l="1"/>
  <c r="D36" i="55"/>
  <c r="E36" i="55"/>
  <c r="B33" i="54"/>
  <c r="F33" i="54"/>
  <c r="H33" i="54" s="1"/>
  <c r="G115" i="54"/>
  <c r="D116" i="54"/>
  <c r="E116" i="54" s="1"/>
  <c r="J114" i="54"/>
  <c r="B117" i="55"/>
  <c r="F117" i="55"/>
  <c r="E117" i="49"/>
  <c r="F117" i="49" s="1"/>
  <c r="G117" i="49" s="1"/>
  <c r="I117" i="49" s="1"/>
  <c r="H116" i="55"/>
  <c r="I116" i="55"/>
  <c r="G116" i="49"/>
  <c r="J115" i="49"/>
  <c r="J116" i="48"/>
  <c r="I30" i="47"/>
  <c r="G117" i="48"/>
  <c r="D118" i="48"/>
  <c r="B118" i="48" s="1"/>
  <c r="B31" i="48"/>
  <c r="F31" i="48"/>
  <c r="H31" i="48" s="1"/>
  <c r="B32" i="49"/>
  <c r="F32" i="49"/>
  <c r="G32" i="49" s="1"/>
  <c r="F31" i="47"/>
  <c r="H31" i="47" s="1"/>
  <c r="B31" i="47"/>
  <c r="I31" i="49"/>
  <c r="I32" i="44"/>
  <c r="H32" i="13"/>
  <c r="G32" i="13"/>
  <c r="D33" i="13"/>
  <c r="E33" i="44"/>
  <c r="F33" i="44" s="1"/>
  <c r="B33" i="44"/>
  <c r="I32" i="45"/>
  <c r="I41" i="6"/>
  <c r="I43" i="7"/>
  <c r="I39" i="25"/>
  <c r="I39" i="22"/>
  <c r="I37" i="24"/>
  <c r="H32" i="46"/>
  <c r="I32" i="46" s="1"/>
  <c r="I44" i="10"/>
  <c r="I31" i="41"/>
  <c r="I40" i="5"/>
  <c r="I41" i="8"/>
  <c r="B37" i="27"/>
  <c r="E37" i="27"/>
  <c r="F37" i="27" s="1"/>
  <c r="I36" i="27"/>
  <c r="F31" i="43"/>
  <c r="B31" i="43"/>
  <c r="B35" i="30"/>
  <c r="F35" i="30"/>
  <c r="F32" i="42"/>
  <c r="G32" i="42" s="1"/>
  <c r="B32" i="42"/>
  <c r="F40" i="25"/>
  <c r="B40" i="25"/>
  <c r="B43" i="11"/>
  <c r="F43" i="11"/>
  <c r="B36" i="28"/>
  <c r="F36" i="28"/>
  <c r="B34" i="37"/>
  <c r="F34" i="37"/>
  <c r="G34" i="37" s="1"/>
  <c r="I40" i="4"/>
  <c r="F33" i="38"/>
  <c r="H33" i="38" s="1"/>
  <c r="B33" i="38"/>
  <c r="B36" i="29"/>
  <c r="F36" i="29"/>
  <c r="F41" i="3"/>
  <c r="B41" i="3"/>
  <c r="F45" i="10"/>
  <c r="B45" i="10"/>
  <c r="G43" i="9"/>
  <c r="D44" i="9"/>
  <c r="E44" i="9" s="1"/>
  <c r="H43" i="9"/>
  <c r="B33" i="39"/>
  <c r="F33" i="39"/>
  <c r="G33" i="39" s="1"/>
  <c r="F42" i="8"/>
  <c r="B42" i="8"/>
  <c r="D33" i="46"/>
  <c r="I35" i="29"/>
  <c r="I35" i="31"/>
  <c r="I40" i="3"/>
  <c r="I38" i="23"/>
  <c r="I34" i="30"/>
  <c r="I42" i="11"/>
  <c r="I31" i="40"/>
  <c r="F44" i="7"/>
  <c r="B44" i="7"/>
  <c r="F41" i="4"/>
  <c r="B41" i="4"/>
  <c r="B32" i="41"/>
  <c r="F32" i="41"/>
  <c r="H32" i="41" s="1"/>
  <c r="B33" i="45"/>
  <c r="F42" i="6"/>
  <c r="B42" i="6"/>
  <c r="B36" i="31"/>
  <c r="F36" i="31"/>
  <c r="F39" i="23"/>
  <c r="B39" i="23"/>
  <c r="B40" i="22"/>
  <c r="F40" i="22"/>
  <c r="B32" i="40"/>
  <c r="F32" i="40"/>
  <c r="F38" i="24"/>
  <c r="B38" i="24"/>
  <c r="I35" i="28"/>
  <c r="F41" i="5"/>
  <c r="B41" i="5"/>
  <c r="E33" i="45"/>
  <c r="F33" i="45" s="1"/>
  <c r="B115" i="13"/>
  <c r="F115" i="13"/>
  <c r="H114" i="13"/>
  <c r="I114" i="13"/>
  <c r="G33" i="54" l="1"/>
  <c r="I33" i="54"/>
  <c r="D34" i="54"/>
  <c r="E34" i="54"/>
  <c r="B36" i="55"/>
  <c r="F36" i="55"/>
  <c r="H36" i="55" s="1"/>
  <c r="G36" i="55"/>
  <c r="H117" i="49"/>
  <c r="J117" i="49" s="1"/>
  <c r="D118" i="55"/>
  <c r="E118" i="55" s="1"/>
  <c r="G117" i="55"/>
  <c r="D118" i="49"/>
  <c r="E118" i="49" s="1"/>
  <c r="F118" i="49" s="1"/>
  <c r="G118" i="49" s="1"/>
  <c r="B116" i="54"/>
  <c r="F116" i="54"/>
  <c r="J116" i="55"/>
  <c r="H115" i="54"/>
  <c r="I115" i="54"/>
  <c r="I116" i="49"/>
  <c r="H116" i="49"/>
  <c r="H32" i="49"/>
  <c r="I32" i="49" s="1"/>
  <c r="G31" i="48"/>
  <c r="I31" i="48" s="1"/>
  <c r="G31" i="47"/>
  <c r="I31" i="47" s="1"/>
  <c r="E118" i="48"/>
  <c r="F118" i="48" s="1"/>
  <c r="D119" i="48" s="1"/>
  <c r="B119" i="48" s="1"/>
  <c r="I117" i="48"/>
  <c r="H117" i="48"/>
  <c r="D119" i="49"/>
  <c r="D33" i="49"/>
  <c r="E33" i="49"/>
  <c r="D32" i="48"/>
  <c r="E32" i="48"/>
  <c r="D32" i="47"/>
  <c r="E32" i="47" s="1"/>
  <c r="I32" i="13"/>
  <c r="E33" i="13"/>
  <c r="F33" i="13" s="1"/>
  <c r="H33" i="13" s="1"/>
  <c r="B33" i="13"/>
  <c r="G33" i="38"/>
  <c r="I33" i="38" s="1"/>
  <c r="D34" i="44"/>
  <c r="G33" i="44"/>
  <c r="H33" i="44"/>
  <c r="D38" i="27"/>
  <c r="E38" i="27"/>
  <c r="G37" i="27"/>
  <c r="H37" i="27"/>
  <c r="D34" i="45"/>
  <c r="E34" i="45" s="1"/>
  <c r="H33" i="45"/>
  <c r="G33" i="45"/>
  <c r="D33" i="40"/>
  <c r="E33" i="40"/>
  <c r="D37" i="31"/>
  <c r="E37" i="31" s="1"/>
  <c r="G36" i="31"/>
  <c r="H36" i="31"/>
  <c r="H36" i="28"/>
  <c r="G36" i="28"/>
  <c r="D37" i="28"/>
  <c r="E37" i="28"/>
  <c r="G32" i="40"/>
  <c r="D33" i="41"/>
  <c r="E33" i="41"/>
  <c r="H41" i="4"/>
  <c r="G41" i="4"/>
  <c r="D42" i="4"/>
  <c r="E42" i="4" s="1"/>
  <c r="B33" i="46"/>
  <c r="D34" i="39"/>
  <c r="E34" i="39"/>
  <c r="I43" i="9"/>
  <c r="G36" i="29"/>
  <c r="D37" i="29"/>
  <c r="E37" i="29" s="1"/>
  <c r="H36" i="29"/>
  <c r="H34" i="37"/>
  <c r="I34" i="37" s="1"/>
  <c r="D41" i="25"/>
  <c r="E41" i="25" s="1"/>
  <c r="G40" i="25"/>
  <c r="H40" i="25"/>
  <c r="D33" i="42"/>
  <c r="E33" i="42"/>
  <c r="D32" i="43"/>
  <c r="E32" i="43"/>
  <c r="D41" i="22"/>
  <c r="E41" i="22" s="1"/>
  <c r="G40" i="22"/>
  <c r="H40" i="22"/>
  <c r="D43" i="8"/>
  <c r="E43" i="8" s="1"/>
  <c r="G42" i="8"/>
  <c r="H42" i="8"/>
  <c r="D39" i="24"/>
  <c r="E39" i="24" s="1"/>
  <c r="G38" i="24"/>
  <c r="H38" i="24"/>
  <c r="G32" i="41"/>
  <c r="I32" i="41" s="1"/>
  <c r="E33" i="46"/>
  <c r="F33" i="46" s="1"/>
  <c r="D46" i="10"/>
  <c r="H45" i="10"/>
  <c r="E46" i="10"/>
  <c r="G45" i="10"/>
  <c r="D34" i="38"/>
  <c r="E34" i="38"/>
  <c r="D44" i="11"/>
  <c r="E44" i="11" s="1"/>
  <c r="G43" i="11"/>
  <c r="H43" i="11"/>
  <c r="G35" i="30"/>
  <c r="D36" i="30"/>
  <c r="E36" i="30" s="1"/>
  <c r="H35" i="30"/>
  <c r="H31" i="43"/>
  <c r="H41" i="3"/>
  <c r="D42" i="3"/>
  <c r="G41" i="3"/>
  <c r="E42" i="3"/>
  <c r="D35" i="37"/>
  <c r="E35" i="37" s="1"/>
  <c r="H41" i="5"/>
  <c r="G41" i="5"/>
  <c r="D42" i="5"/>
  <c r="E42" i="5"/>
  <c r="H32" i="40"/>
  <c r="D40" i="23"/>
  <c r="E40" i="23" s="1"/>
  <c r="G39" i="23"/>
  <c r="H39" i="23"/>
  <c r="G42" i="6"/>
  <c r="D43" i="6"/>
  <c r="H42" i="6"/>
  <c r="E43" i="6"/>
  <c r="H44" i="7"/>
  <c r="D45" i="7"/>
  <c r="G44" i="7"/>
  <c r="E45" i="7"/>
  <c r="H33" i="39"/>
  <c r="I33" i="39" s="1"/>
  <c r="B44" i="9"/>
  <c r="F44" i="9"/>
  <c r="H32" i="42"/>
  <c r="I32" i="42" s="1"/>
  <c r="G31" i="43"/>
  <c r="D116" i="13"/>
  <c r="G115" i="13"/>
  <c r="J114" i="13"/>
  <c r="F34" i="54" l="1"/>
  <c r="J115" i="54"/>
  <c r="I36" i="55"/>
  <c r="D37" i="55"/>
  <c r="E37" i="55"/>
  <c r="F37" i="55" s="1"/>
  <c r="D35" i="54"/>
  <c r="E35" i="54"/>
  <c r="B34" i="54"/>
  <c r="G34" i="54"/>
  <c r="H34" i="54"/>
  <c r="D117" i="54"/>
  <c r="G116" i="54"/>
  <c r="E117" i="54"/>
  <c r="B118" i="49"/>
  <c r="F118" i="55"/>
  <c r="B118" i="55"/>
  <c r="H117" i="55"/>
  <c r="I117" i="55"/>
  <c r="J116" i="49"/>
  <c r="E119" i="48"/>
  <c r="F119" i="48" s="1"/>
  <c r="D120" i="48" s="1"/>
  <c r="G118" i="48"/>
  <c r="I118" i="48" s="1"/>
  <c r="J117" i="48"/>
  <c r="E119" i="49"/>
  <c r="F119" i="49" s="1"/>
  <c r="B119" i="49"/>
  <c r="H118" i="48"/>
  <c r="H118" i="49"/>
  <c r="I118" i="49"/>
  <c r="B32" i="47"/>
  <c r="F32" i="47"/>
  <c r="G32" i="47" s="1"/>
  <c r="F33" i="49"/>
  <c r="D34" i="49" s="1"/>
  <c r="B33" i="49"/>
  <c r="F32" i="48"/>
  <c r="G32" i="48" s="1"/>
  <c r="B32" i="48"/>
  <c r="G33" i="13"/>
  <c r="I33" i="13" s="1"/>
  <c r="D34" i="13"/>
  <c r="I33" i="44"/>
  <c r="E34" i="44"/>
  <c r="F34" i="44" s="1"/>
  <c r="B34" i="44"/>
  <c r="I36" i="29"/>
  <c r="I32" i="40"/>
  <c r="I37" i="27"/>
  <c r="I36" i="28"/>
  <c r="I41" i="3"/>
  <c r="I31" i="43"/>
  <c r="F38" i="27"/>
  <c r="B38" i="27"/>
  <c r="D34" i="46"/>
  <c r="E34" i="46" s="1"/>
  <c r="H33" i="46"/>
  <c r="G33" i="46"/>
  <c r="I41" i="5"/>
  <c r="F44" i="11"/>
  <c r="B44" i="11"/>
  <c r="F39" i="24"/>
  <c r="B39" i="24"/>
  <c r="F43" i="8"/>
  <c r="B43" i="8"/>
  <c r="F41" i="22"/>
  <c r="B41" i="22"/>
  <c r="B33" i="42"/>
  <c r="F33" i="42"/>
  <c r="G33" i="42" s="1"/>
  <c r="F41" i="25"/>
  <c r="B41" i="25"/>
  <c r="F37" i="29"/>
  <c r="B37" i="29"/>
  <c r="F34" i="39"/>
  <c r="G34" i="39" s="1"/>
  <c r="B34" i="39"/>
  <c r="I41" i="4"/>
  <c r="B37" i="31"/>
  <c r="F37" i="31"/>
  <c r="I33" i="45"/>
  <c r="F40" i="23"/>
  <c r="B40" i="23"/>
  <c r="F36" i="30"/>
  <c r="B36" i="30"/>
  <c r="D45" i="9"/>
  <c r="E45" i="9"/>
  <c r="H44" i="9"/>
  <c r="G44" i="9"/>
  <c r="F45" i="7"/>
  <c r="B45" i="7"/>
  <c r="I42" i="6"/>
  <c r="I39" i="23"/>
  <c r="I45" i="10"/>
  <c r="B37" i="28"/>
  <c r="F37" i="28"/>
  <c r="B35" i="37"/>
  <c r="F35" i="37"/>
  <c r="H35" i="37" s="1"/>
  <c r="I44" i="7"/>
  <c r="F43" i="6"/>
  <c r="B43" i="6"/>
  <c r="F42" i="5"/>
  <c r="B42" i="5"/>
  <c r="B42" i="3"/>
  <c r="F42" i="3"/>
  <c r="I35" i="30"/>
  <c r="I43" i="11"/>
  <c r="F34" i="38"/>
  <c r="G34" i="38" s="1"/>
  <c r="B34" i="38"/>
  <c r="B46" i="10"/>
  <c r="F46" i="10"/>
  <c r="I38" i="24"/>
  <c r="I42" i="8"/>
  <c r="I40" i="22"/>
  <c r="B32" i="43"/>
  <c r="F32" i="43"/>
  <c r="G32" i="43" s="1"/>
  <c r="I40" i="25"/>
  <c r="F42" i="4"/>
  <c r="B42" i="4"/>
  <c r="B33" i="41"/>
  <c r="F33" i="41"/>
  <c r="G33" i="41" s="1"/>
  <c r="I36" i="31"/>
  <c r="F33" i="40"/>
  <c r="B33" i="40"/>
  <c r="F34" i="45"/>
  <c r="G34" i="45" s="1"/>
  <c r="B34" i="45"/>
  <c r="H115" i="13"/>
  <c r="I115" i="13"/>
  <c r="B116" i="13"/>
  <c r="E116" i="13"/>
  <c r="F116" i="13" s="1"/>
  <c r="G119" i="48" l="1"/>
  <c r="J117" i="55"/>
  <c r="F35" i="54"/>
  <c r="D36" i="54"/>
  <c r="E36" i="54"/>
  <c r="B35" i="54"/>
  <c r="G35" i="54"/>
  <c r="H35" i="54"/>
  <c r="D38" i="55"/>
  <c r="E38" i="55"/>
  <c r="B37" i="55"/>
  <c r="G37" i="55"/>
  <c r="H37" i="55"/>
  <c r="I34" i="54"/>
  <c r="H116" i="54"/>
  <c r="I116" i="54"/>
  <c r="G118" i="55"/>
  <c r="D119" i="55"/>
  <c r="E119" i="55"/>
  <c r="B117" i="54"/>
  <c r="F117" i="54"/>
  <c r="H33" i="49"/>
  <c r="H32" i="47"/>
  <c r="I32" i="47" s="1"/>
  <c r="G33" i="49"/>
  <c r="E120" i="48"/>
  <c r="F120" i="48" s="1"/>
  <c r="B120" i="48"/>
  <c r="D120" i="49"/>
  <c r="B120" i="49" s="1"/>
  <c r="G119" i="49"/>
  <c r="H119" i="48"/>
  <c r="I119" i="48"/>
  <c r="J118" i="49"/>
  <c r="J118" i="48"/>
  <c r="D33" i="47"/>
  <c r="E33" i="47" s="1"/>
  <c r="H32" i="48"/>
  <c r="I32" i="48" s="1"/>
  <c r="D33" i="48"/>
  <c r="E33" i="48"/>
  <c r="E34" i="49"/>
  <c r="F34" i="49" s="1"/>
  <c r="B34" i="49"/>
  <c r="E34" i="13"/>
  <c r="F34" i="13" s="1"/>
  <c r="H34" i="13" s="1"/>
  <c r="B34" i="13"/>
  <c r="G34" i="44"/>
  <c r="D35" i="44"/>
  <c r="H34" i="44"/>
  <c r="H33" i="41"/>
  <c r="I33" i="41" s="1"/>
  <c r="H34" i="38"/>
  <c r="I34" i="38" s="1"/>
  <c r="D39" i="27"/>
  <c r="G38" i="27"/>
  <c r="H38" i="27"/>
  <c r="I44" i="9"/>
  <c r="H33" i="42"/>
  <c r="I33" i="42" s="1"/>
  <c r="D34" i="40"/>
  <c r="E34" i="40"/>
  <c r="H42" i="5"/>
  <c r="D43" i="5"/>
  <c r="E43" i="5" s="1"/>
  <c r="G42" i="5"/>
  <c r="D36" i="37"/>
  <c r="E36" i="37" s="1"/>
  <c r="G37" i="28"/>
  <c r="D38" i="28"/>
  <c r="H37" i="28"/>
  <c r="E38" i="28"/>
  <c r="D46" i="7"/>
  <c r="G45" i="7"/>
  <c r="H45" i="7"/>
  <c r="E46" i="7"/>
  <c r="B45" i="9"/>
  <c r="F45" i="9"/>
  <c r="H40" i="23"/>
  <c r="G40" i="23"/>
  <c r="D41" i="23"/>
  <c r="E41" i="23"/>
  <c r="H34" i="39"/>
  <c r="I34" i="39" s="1"/>
  <c r="I33" i="46"/>
  <c r="H37" i="29"/>
  <c r="D38" i="29"/>
  <c r="G37" i="29"/>
  <c r="E38" i="29"/>
  <c r="H41" i="22"/>
  <c r="G41" i="22"/>
  <c r="D42" i="22"/>
  <c r="E42" i="22"/>
  <c r="D35" i="45"/>
  <c r="E35" i="45" s="1"/>
  <c r="D43" i="4"/>
  <c r="H42" i="4"/>
  <c r="G42" i="4"/>
  <c r="E43" i="4"/>
  <c r="H34" i="45"/>
  <c r="I34" i="45" s="1"/>
  <c r="H33" i="40"/>
  <c r="D34" i="41"/>
  <c r="E34" i="41"/>
  <c r="G46" i="10"/>
  <c r="H46" i="10"/>
  <c r="D47" i="10"/>
  <c r="E47" i="10" s="1"/>
  <c r="D35" i="38"/>
  <c r="E35" i="38" s="1"/>
  <c r="D43" i="3"/>
  <c r="E43" i="3" s="1"/>
  <c r="H42" i="3"/>
  <c r="G42" i="3"/>
  <c r="G35" i="37"/>
  <c r="I35" i="37" s="1"/>
  <c r="D42" i="25"/>
  <c r="E42" i="25" s="1"/>
  <c r="H41" i="25"/>
  <c r="G41" i="25"/>
  <c r="G43" i="8"/>
  <c r="H43" i="8"/>
  <c r="D44" i="8"/>
  <c r="E44" i="8"/>
  <c r="G44" i="11"/>
  <c r="H44" i="11"/>
  <c r="D45" i="11"/>
  <c r="E45" i="11"/>
  <c r="D33" i="43"/>
  <c r="E33" i="43"/>
  <c r="D35" i="39"/>
  <c r="E35" i="39"/>
  <c r="G39" i="24"/>
  <c r="D40" i="24"/>
  <c r="H39" i="24"/>
  <c r="E40" i="24"/>
  <c r="G33" i="40"/>
  <c r="H32" i="43"/>
  <c r="I32" i="43" s="1"/>
  <c r="H43" i="6"/>
  <c r="G43" i="6"/>
  <c r="D44" i="6"/>
  <c r="E44" i="6" s="1"/>
  <c r="D37" i="30"/>
  <c r="E37" i="30" s="1"/>
  <c r="G36" i="30"/>
  <c r="H36" i="30"/>
  <c r="D38" i="31"/>
  <c r="E38" i="31" s="1"/>
  <c r="G37" i="31"/>
  <c r="H37" i="31"/>
  <c r="D34" i="42"/>
  <c r="E34" i="42" s="1"/>
  <c r="B34" i="46"/>
  <c r="F34" i="46"/>
  <c r="G34" i="46" s="1"/>
  <c r="J115" i="13"/>
  <c r="G116" i="13"/>
  <c r="D117" i="13"/>
  <c r="E117" i="13" s="1"/>
  <c r="J116" i="54" l="1"/>
  <c r="I35" i="54"/>
  <c r="F38" i="55"/>
  <c r="G38" i="55" s="1"/>
  <c r="B38" i="55"/>
  <c r="I37" i="55"/>
  <c r="B36" i="54"/>
  <c r="F36" i="54"/>
  <c r="D37" i="54" s="1"/>
  <c r="I33" i="49"/>
  <c r="G117" i="54"/>
  <c r="D118" i="54"/>
  <c r="E118" i="54" s="1"/>
  <c r="B119" i="55"/>
  <c r="F119" i="55"/>
  <c r="I118" i="55"/>
  <c r="H118" i="55"/>
  <c r="J119" i="48"/>
  <c r="E120" i="49"/>
  <c r="F120" i="49" s="1"/>
  <c r="D121" i="48"/>
  <c r="B121" i="48" s="1"/>
  <c r="G120" i="48"/>
  <c r="I119" i="49"/>
  <c r="H119" i="49"/>
  <c r="D35" i="49"/>
  <c r="E35" i="49"/>
  <c r="G34" i="49"/>
  <c r="H34" i="49"/>
  <c r="F33" i="47"/>
  <c r="G33" i="47" s="1"/>
  <c r="B33" i="47"/>
  <c r="B33" i="48"/>
  <c r="F33" i="48"/>
  <c r="G33" i="48" s="1"/>
  <c r="I34" i="44"/>
  <c r="G34" i="13"/>
  <c r="I34" i="13" s="1"/>
  <c r="D35" i="13"/>
  <c r="I41" i="22"/>
  <c r="E35" i="44"/>
  <c r="F35" i="44" s="1"/>
  <c r="H35" i="44" s="1"/>
  <c r="B35" i="44"/>
  <c r="I41" i="25"/>
  <c r="I45" i="7"/>
  <c r="I38" i="27"/>
  <c r="I40" i="23"/>
  <c r="B39" i="27"/>
  <c r="I44" i="11"/>
  <c r="I43" i="8"/>
  <c r="E39" i="27"/>
  <c r="F39" i="27" s="1"/>
  <c r="F44" i="6"/>
  <c r="B44" i="6"/>
  <c r="B35" i="38"/>
  <c r="F35" i="38"/>
  <c r="H35" i="38" s="1"/>
  <c r="B46" i="7"/>
  <c r="F46" i="7"/>
  <c r="B34" i="40"/>
  <c r="F34" i="40"/>
  <c r="F34" i="42"/>
  <c r="G34" i="42" s="1"/>
  <c r="B34" i="42"/>
  <c r="F38" i="31"/>
  <c r="B38" i="31"/>
  <c r="F37" i="30"/>
  <c r="B37" i="30"/>
  <c r="B33" i="43"/>
  <c r="F33" i="43"/>
  <c r="H33" i="43" s="1"/>
  <c r="F42" i="25"/>
  <c r="B42" i="25"/>
  <c r="I42" i="3"/>
  <c r="F47" i="10"/>
  <c r="B47" i="10"/>
  <c r="B38" i="29"/>
  <c r="F38" i="29"/>
  <c r="F36" i="37"/>
  <c r="H36" i="37" s="1"/>
  <c r="B36" i="37"/>
  <c r="B43" i="5"/>
  <c r="F43" i="5"/>
  <c r="D35" i="46"/>
  <c r="E35" i="46" s="1"/>
  <c r="B43" i="4"/>
  <c r="F43" i="4"/>
  <c r="H34" i="46"/>
  <c r="I34" i="46" s="1"/>
  <c r="I43" i="6"/>
  <c r="F43" i="3"/>
  <c r="B43" i="3"/>
  <c r="I46" i="10"/>
  <c r="B34" i="41"/>
  <c r="F34" i="41"/>
  <c r="B35" i="45"/>
  <c r="F35" i="45"/>
  <c r="G35" i="45" s="1"/>
  <c r="I37" i="29"/>
  <c r="I37" i="28"/>
  <c r="I42" i="5"/>
  <c r="F40" i="24"/>
  <c r="B40" i="24"/>
  <c r="F42" i="22"/>
  <c r="B42" i="22"/>
  <c r="B41" i="23"/>
  <c r="F41" i="23"/>
  <c r="I37" i="31"/>
  <c r="I36" i="30"/>
  <c r="I39" i="24"/>
  <c r="F35" i="39"/>
  <c r="B35" i="39"/>
  <c r="B45" i="11"/>
  <c r="F45" i="11"/>
  <c r="F44" i="8"/>
  <c r="B44" i="8"/>
  <c r="I33" i="40"/>
  <c r="I42" i="4"/>
  <c r="H45" i="9"/>
  <c r="D46" i="9"/>
  <c r="E46" i="9" s="1"/>
  <c r="G45" i="9"/>
  <c r="B38" i="28"/>
  <c r="F38" i="28"/>
  <c r="I116" i="13"/>
  <c r="H116" i="13"/>
  <c r="B117" i="13"/>
  <c r="F117" i="13"/>
  <c r="H38" i="55" l="1"/>
  <c r="I38" i="55" s="1"/>
  <c r="E37" i="54"/>
  <c r="F37" i="54" s="1"/>
  <c r="H37" i="54" s="1"/>
  <c r="B37" i="54"/>
  <c r="H36" i="54"/>
  <c r="G36" i="54"/>
  <c r="D39" i="55"/>
  <c r="E39" i="55"/>
  <c r="G119" i="55"/>
  <c r="D120" i="55"/>
  <c r="B120" i="55" s="1"/>
  <c r="J118" i="55"/>
  <c r="F118" i="54"/>
  <c r="B118" i="54"/>
  <c r="I117" i="54"/>
  <c r="H117" i="54"/>
  <c r="E121" i="48"/>
  <c r="F121" i="48" s="1"/>
  <c r="D122" i="48" s="1"/>
  <c r="I120" i="48"/>
  <c r="H120" i="48"/>
  <c r="J119" i="49"/>
  <c r="G120" i="49"/>
  <c r="D121" i="49"/>
  <c r="D34" i="48"/>
  <c r="E34" i="48" s="1"/>
  <c r="D34" i="47"/>
  <c r="E34" i="47" s="1"/>
  <c r="B35" i="49"/>
  <c r="F35" i="49"/>
  <c r="H35" i="49" s="1"/>
  <c r="H33" i="48"/>
  <c r="I33" i="48" s="1"/>
  <c r="H33" i="47"/>
  <c r="I33" i="47" s="1"/>
  <c r="I34" i="49"/>
  <c r="E35" i="13"/>
  <c r="F35" i="13" s="1"/>
  <c r="H35" i="13" s="1"/>
  <c r="B35" i="13"/>
  <c r="G35" i="44"/>
  <c r="I35" i="44" s="1"/>
  <c r="D36" i="44"/>
  <c r="G36" i="37"/>
  <c r="I36" i="37" s="1"/>
  <c r="H34" i="42"/>
  <c r="I34" i="42" s="1"/>
  <c r="D40" i="27"/>
  <c r="H39" i="27"/>
  <c r="G39" i="27"/>
  <c r="D46" i="11"/>
  <c r="G45" i="11"/>
  <c r="H45" i="11"/>
  <c r="E46" i="11"/>
  <c r="D35" i="41"/>
  <c r="E35" i="41"/>
  <c r="D35" i="40"/>
  <c r="E35" i="40"/>
  <c r="G46" i="7"/>
  <c r="H46" i="7"/>
  <c r="D47" i="7"/>
  <c r="E47" i="7"/>
  <c r="D36" i="39"/>
  <c r="E36" i="39"/>
  <c r="H41" i="23"/>
  <c r="G41" i="23"/>
  <c r="D42" i="23"/>
  <c r="E42" i="23"/>
  <c r="D39" i="29"/>
  <c r="E39" i="29" s="1"/>
  <c r="G38" i="29"/>
  <c r="H38" i="29"/>
  <c r="D34" i="43"/>
  <c r="E34" i="43"/>
  <c r="G37" i="30"/>
  <c r="D38" i="30"/>
  <c r="H37" i="30"/>
  <c r="E38" i="30"/>
  <c r="D43" i="22"/>
  <c r="H42" i="22"/>
  <c r="G42" i="22"/>
  <c r="E43" i="22"/>
  <c r="H43" i="3"/>
  <c r="G43" i="3"/>
  <c r="D44" i="3"/>
  <c r="E44" i="3"/>
  <c r="G38" i="28"/>
  <c r="D39" i="28"/>
  <c r="H38" i="28"/>
  <c r="E39" i="28"/>
  <c r="B46" i="9"/>
  <c r="F46" i="9"/>
  <c r="G35" i="39"/>
  <c r="H40" i="24"/>
  <c r="G40" i="24"/>
  <c r="D41" i="24"/>
  <c r="E41" i="24"/>
  <c r="D36" i="45"/>
  <c r="E36" i="45" s="1"/>
  <c r="H34" i="41"/>
  <c r="B35" i="46"/>
  <c r="F35" i="46"/>
  <c r="G35" i="46" s="1"/>
  <c r="G33" i="43"/>
  <c r="I33" i="43" s="1"/>
  <c r="G34" i="40"/>
  <c r="D36" i="38"/>
  <c r="E36" i="38" s="1"/>
  <c r="G47" i="10"/>
  <c r="H47" i="10"/>
  <c r="E48" i="10"/>
  <c r="D48" i="10"/>
  <c r="I45" i="9"/>
  <c r="H44" i="8"/>
  <c r="G44" i="8"/>
  <c r="D45" i="8"/>
  <c r="E45" i="8"/>
  <c r="H35" i="39"/>
  <c r="H35" i="45"/>
  <c r="I35" i="45" s="1"/>
  <c r="G34" i="41"/>
  <c r="H43" i="4"/>
  <c r="G43" i="4"/>
  <c r="D44" i="4"/>
  <c r="E44" i="4"/>
  <c r="G43" i="5"/>
  <c r="D44" i="5"/>
  <c r="H43" i="5"/>
  <c r="E44" i="5"/>
  <c r="D37" i="37"/>
  <c r="E37" i="37" s="1"/>
  <c r="G42" i="25"/>
  <c r="D43" i="25"/>
  <c r="E43" i="25" s="1"/>
  <c r="H42" i="25"/>
  <c r="H38" i="31"/>
  <c r="D39" i="31"/>
  <c r="E39" i="31" s="1"/>
  <c r="G38" i="31"/>
  <c r="D35" i="42"/>
  <c r="E35" i="42"/>
  <c r="H34" i="40"/>
  <c r="G35" i="38"/>
  <c r="I35" i="38" s="1"/>
  <c r="G44" i="6"/>
  <c r="D45" i="6"/>
  <c r="E45" i="6" s="1"/>
  <c r="H44" i="6"/>
  <c r="G117" i="13"/>
  <c r="D118" i="13"/>
  <c r="E118" i="13" s="1"/>
  <c r="J116" i="13"/>
  <c r="G37" i="54" l="1"/>
  <c r="E120" i="55"/>
  <c r="F120" i="55" s="1"/>
  <c r="I37" i="54"/>
  <c r="J117" i="54"/>
  <c r="F39" i="55"/>
  <c r="G39" i="55" s="1"/>
  <c r="B39" i="55"/>
  <c r="I36" i="54"/>
  <c r="D38" i="54"/>
  <c r="E38" i="54"/>
  <c r="D119" i="54"/>
  <c r="G118" i="54"/>
  <c r="E119" i="54"/>
  <c r="G120" i="55"/>
  <c r="D121" i="55"/>
  <c r="I119" i="55"/>
  <c r="H119" i="55"/>
  <c r="G121" i="48"/>
  <c r="H121" i="48" s="1"/>
  <c r="E121" i="49"/>
  <c r="F121" i="49" s="1"/>
  <c r="B121" i="49"/>
  <c r="H120" i="49"/>
  <c r="I120" i="49"/>
  <c r="J120" i="48"/>
  <c r="E122" i="48"/>
  <c r="F122" i="48" s="1"/>
  <c r="B122" i="48"/>
  <c r="F34" i="47"/>
  <c r="H34" i="47" s="1"/>
  <c r="B34" i="47"/>
  <c r="G35" i="49"/>
  <c r="I35" i="49" s="1"/>
  <c r="D36" i="49"/>
  <c r="F34" i="48"/>
  <c r="H34" i="48" s="1"/>
  <c r="B34" i="48"/>
  <c r="D36" i="13"/>
  <c r="G35" i="13"/>
  <c r="I35" i="13" s="1"/>
  <c r="I37" i="30"/>
  <c r="I38" i="28"/>
  <c r="I42" i="25"/>
  <c r="I43" i="4"/>
  <c r="E36" i="44"/>
  <c r="F36" i="44" s="1"/>
  <c r="G36" i="44" s="1"/>
  <c r="B36" i="44"/>
  <c r="I46" i="7"/>
  <c r="I34" i="40"/>
  <c r="I45" i="11"/>
  <c r="I44" i="6"/>
  <c r="I47" i="10"/>
  <c r="I39" i="27"/>
  <c r="I34" i="41"/>
  <c r="B40" i="27"/>
  <c r="I41" i="23"/>
  <c r="I35" i="39"/>
  <c r="I44" i="8"/>
  <c r="I43" i="3"/>
  <c r="E40" i="27"/>
  <c r="F40" i="27" s="1"/>
  <c r="F41" i="24"/>
  <c r="B41" i="24"/>
  <c r="G46" i="9"/>
  <c r="D47" i="9"/>
  <c r="E47" i="9"/>
  <c r="H46" i="9"/>
  <c r="B34" i="43"/>
  <c r="F34" i="43"/>
  <c r="H34" i="43" s="1"/>
  <c r="F47" i="7"/>
  <c r="B47" i="7"/>
  <c r="F45" i="6"/>
  <c r="B45" i="6"/>
  <c r="B39" i="31"/>
  <c r="F39" i="31"/>
  <c r="B43" i="25"/>
  <c r="F43" i="25"/>
  <c r="B45" i="8"/>
  <c r="F45" i="8"/>
  <c r="I42" i="22"/>
  <c r="F38" i="30"/>
  <c r="B38" i="30"/>
  <c r="B36" i="38"/>
  <c r="F36" i="38"/>
  <c r="G36" i="38" s="1"/>
  <c r="D36" i="46"/>
  <c r="B39" i="28"/>
  <c r="F39" i="28"/>
  <c r="F35" i="40"/>
  <c r="H35" i="40" s="1"/>
  <c r="B35" i="40"/>
  <c r="F35" i="42"/>
  <c r="H35" i="42" s="1"/>
  <c r="B35" i="42"/>
  <c r="I38" i="31"/>
  <c r="I43" i="5"/>
  <c r="B44" i="4"/>
  <c r="F44" i="4"/>
  <c r="H35" i="46"/>
  <c r="I35" i="46" s="1"/>
  <c r="F36" i="45"/>
  <c r="H36" i="45" s="1"/>
  <c r="B36" i="45"/>
  <c r="I40" i="24"/>
  <c r="B43" i="22"/>
  <c r="F43" i="22"/>
  <c r="I38" i="29"/>
  <c r="B42" i="23"/>
  <c r="F42" i="23"/>
  <c r="F36" i="39"/>
  <c r="G36" i="39" s="1"/>
  <c r="B36" i="39"/>
  <c r="B37" i="37"/>
  <c r="F37" i="37"/>
  <c r="H37" i="37" s="1"/>
  <c r="F44" i="3"/>
  <c r="B44" i="3"/>
  <c r="F39" i="29"/>
  <c r="B39" i="29"/>
  <c r="F44" i="5"/>
  <c r="B44" i="5"/>
  <c r="F48" i="10"/>
  <c r="B48" i="10"/>
  <c r="B35" i="41"/>
  <c r="F35" i="41"/>
  <c r="G35" i="41" s="1"/>
  <c r="B46" i="11"/>
  <c r="F46" i="11"/>
  <c r="F118" i="13"/>
  <c r="B118" i="13"/>
  <c r="H117" i="13"/>
  <c r="I117" i="13"/>
  <c r="H39" i="55" l="1"/>
  <c r="E121" i="55"/>
  <c r="I121" i="48"/>
  <c r="I39" i="55"/>
  <c r="F38" i="54"/>
  <c r="G38" i="54" s="1"/>
  <c r="B38" i="54"/>
  <c r="D40" i="55"/>
  <c r="E40" i="55"/>
  <c r="J119" i="55"/>
  <c r="H120" i="55"/>
  <c r="I120" i="55"/>
  <c r="B121" i="55"/>
  <c r="F121" i="55"/>
  <c r="H118" i="54"/>
  <c r="I118" i="54"/>
  <c r="B119" i="54"/>
  <c r="F119" i="54"/>
  <c r="J121" i="48"/>
  <c r="G34" i="48"/>
  <c r="I34" i="48" s="1"/>
  <c r="G34" i="47"/>
  <c r="I34" i="47" s="1"/>
  <c r="D123" i="48"/>
  <c r="B123" i="48" s="1"/>
  <c r="G122" i="48"/>
  <c r="D122" i="49"/>
  <c r="G121" i="49"/>
  <c r="J120" i="49"/>
  <c r="E36" i="49"/>
  <c r="F36" i="49" s="1"/>
  <c r="H36" i="49" s="1"/>
  <c r="B36" i="49"/>
  <c r="E35" i="48"/>
  <c r="D35" i="48"/>
  <c r="D35" i="47"/>
  <c r="E35" i="47" s="1"/>
  <c r="E36" i="13"/>
  <c r="F36" i="13" s="1"/>
  <c r="B36" i="13"/>
  <c r="D37" i="44"/>
  <c r="H36" i="44"/>
  <c r="I36" i="44" s="1"/>
  <c r="H35" i="41"/>
  <c r="I35" i="41" s="1"/>
  <c r="H36" i="39"/>
  <c r="I36" i="39" s="1"/>
  <c r="G34" i="43"/>
  <c r="I34" i="43" s="1"/>
  <c r="E41" i="27"/>
  <c r="G40" i="27"/>
  <c r="H40" i="27"/>
  <c r="D41" i="27"/>
  <c r="G37" i="37"/>
  <c r="I37" i="37" s="1"/>
  <c r="G36" i="45"/>
  <c r="I36" i="45" s="1"/>
  <c r="B36" i="46"/>
  <c r="G45" i="6"/>
  <c r="H45" i="6"/>
  <c r="D46" i="6"/>
  <c r="E46" i="6"/>
  <c r="B47" i="9"/>
  <c r="F47" i="9"/>
  <c r="D45" i="5"/>
  <c r="E45" i="5" s="1"/>
  <c r="G44" i="5"/>
  <c r="H44" i="5"/>
  <c r="G44" i="3"/>
  <c r="D45" i="3"/>
  <c r="E45" i="3" s="1"/>
  <c r="H44" i="3"/>
  <c r="D37" i="39"/>
  <c r="E37" i="39"/>
  <c r="H43" i="22"/>
  <c r="G43" i="22"/>
  <c r="D44" i="22"/>
  <c r="E44" i="22"/>
  <c r="G44" i="4"/>
  <c r="H44" i="4"/>
  <c r="D45" i="4"/>
  <c r="E45" i="4"/>
  <c r="G39" i="28"/>
  <c r="H39" i="28"/>
  <c r="D40" i="28"/>
  <c r="E40" i="28"/>
  <c r="D37" i="38"/>
  <c r="E37" i="38" s="1"/>
  <c r="D46" i="8"/>
  <c r="E46" i="8" s="1"/>
  <c r="G45" i="8"/>
  <c r="H45" i="8"/>
  <c r="H39" i="31"/>
  <c r="D40" i="31"/>
  <c r="G39" i="31"/>
  <c r="E40" i="31"/>
  <c r="G47" i="7"/>
  <c r="D48" i="7"/>
  <c r="H47" i="7"/>
  <c r="E48" i="7"/>
  <c r="D36" i="40"/>
  <c r="E36" i="40" s="1"/>
  <c r="D38" i="37"/>
  <c r="E38" i="37" s="1"/>
  <c r="D43" i="23"/>
  <c r="E43" i="23" s="1"/>
  <c r="H42" i="23"/>
  <c r="G42" i="23"/>
  <c r="G35" i="40"/>
  <c r="I35" i="40" s="1"/>
  <c r="I46" i="9"/>
  <c r="G46" i="11"/>
  <c r="H46" i="11"/>
  <c r="D47" i="11"/>
  <c r="E47" i="11"/>
  <c r="D36" i="42"/>
  <c r="E36" i="42" s="1"/>
  <c r="D36" i="41"/>
  <c r="E36" i="41"/>
  <c r="H48" i="10"/>
  <c r="D49" i="10"/>
  <c r="G48" i="10"/>
  <c r="E49" i="10"/>
  <c r="G39" i="29"/>
  <c r="D40" i="29"/>
  <c r="H39" i="29"/>
  <c r="E40" i="29"/>
  <c r="D37" i="45"/>
  <c r="G35" i="42"/>
  <c r="I35" i="42" s="1"/>
  <c r="E36" i="46"/>
  <c r="F36" i="46" s="1"/>
  <c r="H36" i="38"/>
  <c r="I36" i="38" s="1"/>
  <c r="G38" i="30"/>
  <c r="H38" i="30"/>
  <c r="D39" i="30"/>
  <c r="E39" i="30" s="1"/>
  <c r="D44" i="25"/>
  <c r="E44" i="25" s="1"/>
  <c r="G43" i="25"/>
  <c r="H43" i="25"/>
  <c r="D35" i="43"/>
  <c r="E35" i="43"/>
  <c r="G41" i="24"/>
  <c r="H41" i="24"/>
  <c r="D42" i="24"/>
  <c r="E42" i="24"/>
  <c r="J117" i="13"/>
  <c r="G118" i="13"/>
  <c r="D119" i="13"/>
  <c r="J120" i="55" l="1"/>
  <c r="F40" i="55"/>
  <c r="H38" i="54"/>
  <c r="I38" i="54" s="1"/>
  <c r="D41" i="55"/>
  <c r="E41" i="55"/>
  <c r="B40" i="55"/>
  <c r="G40" i="55"/>
  <c r="H40" i="55"/>
  <c r="D39" i="54"/>
  <c r="E39" i="54"/>
  <c r="J118" i="54"/>
  <c r="G121" i="55"/>
  <c r="D122" i="55"/>
  <c r="E122" i="55" s="1"/>
  <c r="D120" i="54"/>
  <c r="B120" i="54" s="1"/>
  <c r="G119" i="54"/>
  <c r="E123" i="48"/>
  <c r="F123" i="48" s="1"/>
  <c r="G123" i="48" s="1"/>
  <c r="H121" i="49"/>
  <c r="I121" i="49"/>
  <c r="H122" i="48"/>
  <c r="I122" i="48"/>
  <c r="E122" i="49"/>
  <c r="F122" i="49" s="1"/>
  <c r="B122" i="49"/>
  <c r="F35" i="48"/>
  <c r="H35" i="48" s="1"/>
  <c r="B35" i="48"/>
  <c r="F35" i="47"/>
  <c r="H35" i="47" s="1"/>
  <c r="B35" i="47"/>
  <c r="D37" i="49"/>
  <c r="E37" i="49"/>
  <c r="G36" i="49"/>
  <c r="I36" i="49" s="1"/>
  <c r="G36" i="13"/>
  <c r="D37" i="13"/>
  <c r="H36" i="13"/>
  <c r="I43" i="22"/>
  <c r="E37" i="44"/>
  <c r="F37" i="44" s="1"/>
  <c r="B37" i="44"/>
  <c r="I39" i="31"/>
  <c r="I44" i="3"/>
  <c r="I45" i="8"/>
  <c r="I44" i="5"/>
  <c r="I40" i="27"/>
  <c r="I43" i="25"/>
  <c r="I42" i="23"/>
  <c r="I48" i="10"/>
  <c r="I46" i="11"/>
  <c r="F41" i="27"/>
  <c r="B41" i="27"/>
  <c r="D37" i="46"/>
  <c r="H36" i="46"/>
  <c r="G36" i="46"/>
  <c r="B37" i="38"/>
  <c r="F37" i="38"/>
  <c r="H37" i="38" s="1"/>
  <c r="I38" i="30"/>
  <c r="F36" i="42"/>
  <c r="G36" i="42" s="1"/>
  <c r="B36" i="42"/>
  <c r="F43" i="23"/>
  <c r="B43" i="23"/>
  <c r="F45" i="3"/>
  <c r="B45" i="3"/>
  <c r="F36" i="40"/>
  <c r="G36" i="40" s="1"/>
  <c r="B36" i="40"/>
  <c r="F46" i="8"/>
  <c r="B46" i="8"/>
  <c r="B42" i="24"/>
  <c r="F42" i="24"/>
  <c r="F35" i="43"/>
  <c r="H35" i="43" s="1"/>
  <c r="B35" i="43"/>
  <c r="F44" i="25"/>
  <c r="B44" i="25"/>
  <c r="B37" i="45"/>
  <c r="I39" i="29"/>
  <c r="F36" i="41"/>
  <c r="G36" i="41" s="1"/>
  <c r="B36" i="41"/>
  <c r="I47" i="7"/>
  <c r="F40" i="28"/>
  <c r="B40" i="28"/>
  <c r="F45" i="4"/>
  <c r="B45" i="4"/>
  <c r="F44" i="22"/>
  <c r="B44" i="22"/>
  <c r="F37" i="39"/>
  <c r="H37" i="39" s="1"/>
  <c r="B37" i="39"/>
  <c r="F45" i="5"/>
  <c r="B45" i="5"/>
  <c r="B46" i="6"/>
  <c r="F46" i="6"/>
  <c r="F39" i="30"/>
  <c r="B39" i="30"/>
  <c r="I41" i="24"/>
  <c r="E37" i="45"/>
  <c r="F37" i="45" s="1"/>
  <c r="B40" i="29"/>
  <c r="F40" i="29"/>
  <c r="F49" i="10"/>
  <c r="B49" i="10"/>
  <c r="F47" i="11"/>
  <c r="B47" i="11"/>
  <c r="B38" i="37"/>
  <c r="F38" i="37"/>
  <c r="F48" i="7"/>
  <c r="B48" i="7"/>
  <c r="B40" i="31"/>
  <c r="F40" i="31"/>
  <c r="I39" i="28"/>
  <c r="I44" i="4"/>
  <c r="E48" i="9"/>
  <c r="G47" i="9"/>
  <c r="D48" i="9"/>
  <c r="H47" i="9"/>
  <c r="I45" i="6"/>
  <c r="B119" i="13"/>
  <c r="E119" i="13"/>
  <c r="F119" i="13" s="1"/>
  <c r="H118" i="13"/>
  <c r="I118" i="13"/>
  <c r="E120" i="54" l="1"/>
  <c r="F120" i="54" s="1"/>
  <c r="I40" i="55"/>
  <c r="F39" i="54"/>
  <c r="G39" i="54" s="1"/>
  <c r="B39" i="54"/>
  <c r="F41" i="55"/>
  <c r="D42" i="55" s="1"/>
  <c r="B41" i="55"/>
  <c r="D121" i="54"/>
  <c r="H119" i="54"/>
  <c r="I119" i="54"/>
  <c r="I121" i="55"/>
  <c r="H121" i="55"/>
  <c r="F122" i="55"/>
  <c r="B122" i="55"/>
  <c r="D124" i="48"/>
  <c r="E124" i="48" s="1"/>
  <c r="F124" i="48" s="1"/>
  <c r="I36" i="13"/>
  <c r="J121" i="49"/>
  <c r="D123" i="49"/>
  <c r="G122" i="49"/>
  <c r="I123" i="48"/>
  <c r="H123" i="48"/>
  <c r="J122" i="48"/>
  <c r="B37" i="49"/>
  <c r="F37" i="49"/>
  <c r="G37" i="49" s="1"/>
  <c r="D36" i="47"/>
  <c r="E36" i="47" s="1"/>
  <c r="D36" i="48"/>
  <c r="E36" i="48" s="1"/>
  <c r="G35" i="47"/>
  <c r="I35" i="47" s="1"/>
  <c r="G35" i="48"/>
  <c r="I35" i="48" s="1"/>
  <c r="E37" i="13"/>
  <c r="F37" i="13" s="1"/>
  <c r="B37" i="13"/>
  <c r="H37" i="44"/>
  <c r="G37" i="44"/>
  <c r="D38" i="44"/>
  <c r="G37" i="38"/>
  <c r="I37" i="38" s="1"/>
  <c r="G41" i="27"/>
  <c r="E42" i="27"/>
  <c r="H41" i="27"/>
  <c r="D42" i="27"/>
  <c r="G37" i="39"/>
  <c r="I37" i="39" s="1"/>
  <c r="G35" i="43"/>
  <c r="I35" i="43" s="1"/>
  <c r="D38" i="45"/>
  <c r="E38" i="45" s="1"/>
  <c r="H37" i="45"/>
  <c r="G37" i="45"/>
  <c r="D39" i="37"/>
  <c r="E39" i="37"/>
  <c r="G40" i="29"/>
  <c r="H40" i="29"/>
  <c r="D41" i="29"/>
  <c r="E41" i="29"/>
  <c r="G43" i="23"/>
  <c r="D44" i="23"/>
  <c r="E44" i="23" s="1"/>
  <c r="H43" i="23"/>
  <c r="J118" i="13"/>
  <c r="I47" i="9"/>
  <c r="G38" i="37"/>
  <c r="D48" i="11"/>
  <c r="E48" i="11" s="1"/>
  <c r="G47" i="11"/>
  <c r="H47" i="11"/>
  <c r="H39" i="30"/>
  <c r="D40" i="30"/>
  <c r="E40" i="30" s="1"/>
  <c r="G39" i="30"/>
  <c r="H45" i="5"/>
  <c r="D46" i="5"/>
  <c r="E46" i="5" s="1"/>
  <c r="G45" i="5"/>
  <c r="D38" i="39"/>
  <c r="E38" i="39"/>
  <c r="D46" i="4"/>
  <c r="E46" i="4" s="1"/>
  <c r="G45" i="4"/>
  <c r="H45" i="4"/>
  <c r="G42" i="24"/>
  <c r="D43" i="24"/>
  <c r="H42" i="24"/>
  <c r="E43" i="24"/>
  <c r="I36" i="46"/>
  <c r="D37" i="41"/>
  <c r="E37" i="41"/>
  <c r="G44" i="25"/>
  <c r="H44" i="25"/>
  <c r="D45" i="25"/>
  <c r="E45" i="25"/>
  <c r="D47" i="8"/>
  <c r="H46" i="8"/>
  <c r="G46" i="8"/>
  <c r="E47" i="8"/>
  <c r="D37" i="40"/>
  <c r="E37" i="40"/>
  <c r="D37" i="42"/>
  <c r="E37" i="42"/>
  <c r="F48" i="9"/>
  <c r="B48" i="9"/>
  <c r="D49" i="7"/>
  <c r="E49" i="7" s="1"/>
  <c r="H48" i="7"/>
  <c r="G48" i="7"/>
  <c r="H46" i="6"/>
  <c r="D47" i="6"/>
  <c r="E47" i="6" s="1"/>
  <c r="G46" i="6"/>
  <c r="H36" i="40"/>
  <c r="I36" i="40" s="1"/>
  <c r="H45" i="3"/>
  <c r="D46" i="3"/>
  <c r="G45" i="3"/>
  <c r="E46" i="3"/>
  <c r="D38" i="38"/>
  <c r="E38" i="38"/>
  <c r="B37" i="46"/>
  <c r="D41" i="31"/>
  <c r="E41" i="31" s="1"/>
  <c r="G40" i="31"/>
  <c r="H40" i="31"/>
  <c r="H38" i="37"/>
  <c r="D50" i="10"/>
  <c r="G49" i="10"/>
  <c r="H49" i="10"/>
  <c r="E50" i="10"/>
  <c r="D45" i="22"/>
  <c r="G44" i="22"/>
  <c r="H44" i="22"/>
  <c r="E45" i="22"/>
  <c r="H40" i="28"/>
  <c r="D41" i="28"/>
  <c r="G40" i="28"/>
  <c r="E41" i="28"/>
  <c r="H36" i="41"/>
  <c r="I36" i="41" s="1"/>
  <c r="D36" i="43"/>
  <c r="E36" i="43"/>
  <c r="H36" i="42"/>
  <c r="I36" i="42" s="1"/>
  <c r="E37" i="46"/>
  <c r="F37" i="46" s="1"/>
  <c r="D120" i="13"/>
  <c r="G119" i="13"/>
  <c r="B124" i="48" l="1"/>
  <c r="J119" i="54"/>
  <c r="E121" i="54"/>
  <c r="G120" i="54"/>
  <c r="H120" i="54" s="1"/>
  <c r="H41" i="55"/>
  <c r="J121" i="55"/>
  <c r="G41" i="55"/>
  <c r="H39" i="54"/>
  <c r="I39" i="54" s="1"/>
  <c r="E42" i="55"/>
  <c r="F42" i="55" s="1"/>
  <c r="D43" i="55" s="1"/>
  <c r="B42" i="55"/>
  <c r="D40" i="54"/>
  <c r="E40" i="54"/>
  <c r="G122" i="55"/>
  <c r="D123" i="55"/>
  <c r="B123" i="55" s="1"/>
  <c r="F121" i="54"/>
  <c r="B121" i="54"/>
  <c r="H37" i="49"/>
  <c r="D125" i="48"/>
  <c r="G124" i="48"/>
  <c r="J123" i="48"/>
  <c r="I122" i="49"/>
  <c r="H122" i="49"/>
  <c r="E123" i="49"/>
  <c r="F123" i="49" s="1"/>
  <c r="B123" i="49"/>
  <c r="I37" i="49"/>
  <c r="B36" i="47"/>
  <c r="F36" i="47"/>
  <c r="H36" i="47" s="1"/>
  <c r="F36" i="48"/>
  <c r="G36" i="48" s="1"/>
  <c r="B36" i="48"/>
  <c r="D38" i="49"/>
  <c r="E38" i="49"/>
  <c r="D38" i="13"/>
  <c r="H37" i="13"/>
  <c r="G37" i="13"/>
  <c r="I37" i="44"/>
  <c r="I38" i="37"/>
  <c r="E38" i="44"/>
  <c r="F38" i="44" s="1"/>
  <c r="B38" i="44"/>
  <c r="I44" i="25"/>
  <c r="I42" i="24"/>
  <c r="I45" i="4"/>
  <c r="I40" i="29"/>
  <c r="I44" i="22"/>
  <c r="I49" i="10"/>
  <c r="I40" i="31"/>
  <c r="I46" i="8"/>
  <c r="I45" i="5"/>
  <c r="I39" i="30"/>
  <c r="F42" i="27"/>
  <c r="B42" i="27"/>
  <c r="I43" i="23"/>
  <c r="I41" i="27"/>
  <c r="D38" i="46"/>
  <c r="E38" i="46" s="1"/>
  <c r="H37" i="46"/>
  <c r="G37" i="46"/>
  <c r="B46" i="3"/>
  <c r="F46" i="3"/>
  <c r="B40" i="30"/>
  <c r="F40" i="30"/>
  <c r="B41" i="28"/>
  <c r="F41" i="28"/>
  <c r="F38" i="38"/>
  <c r="H38" i="38" s="1"/>
  <c r="B38" i="38"/>
  <c r="I45" i="3"/>
  <c r="G48" i="9"/>
  <c r="D49" i="9"/>
  <c r="E49" i="9"/>
  <c r="H48" i="9"/>
  <c r="B37" i="40"/>
  <c r="F37" i="40"/>
  <c r="H37" i="40" s="1"/>
  <c r="B47" i="8"/>
  <c r="F47" i="8"/>
  <c r="B43" i="24"/>
  <c r="F43" i="24"/>
  <c r="B38" i="39"/>
  <c r="F38" i="39"/>
  <c r="H38" i="39" s="1"/>
  <c r="B48" i="11"/>
  <c r="F48" i="11"/>
  <c r="I37" i="45"/>
  <c r="B46" i="5"/>
  <c r="F46" i="5"/>
  <c r="F44" i="23"/>
  <c r="B44" i="23"/>
  <c r="B36" i="43"/>
  <c r="F36" i="43"/>
  <c r="G36" i="43" s="1"/>
  <c r="I40" i="28"/>
  <c r="B45" i="22"/>
  <c r="F45" i="22"/>
  <c r="B50" i="10"/>
  <c r="F50" i="10"/>
  <c r="B47" i="6"/>
  <c r="F47" i="6"/>
  <c r="I48" i="7"/>
  <c r="F41" i="31"/>
  <c r="B41" i="31"/>
  <c r="I46" i="6"/>
  <c r="B49" i="7"/>
  <c r="F49" i="7"/>
  <c r="B37" i="42"/>
  <c r="F37" i="42"/>
  <c r="H37" i="42" s="1"/>
  <c r="F45" i="25"/>
  <c r="B45" i="25"/>
  <c r="B37" i="41"/>
  <c r="F37" i="41"/>
  <c r="H37" i="41" s="1"/>
  <c r="F46" i="4"/>
  <c r="B46" i="4"/>
  <c r="I47" i="11"/>
  <c r="B41" i="29"/>
  <c r="F41" i="29"/>
  <c r="B39" i="37"/>
  <c r="F39" i="37"/>
  <c r="H39" i="37" s="1"/>
  <c r="F38" i="45"/>
  <c r="G38" i="45" s="1"/>
  <c r="B38" i="45"/>
  <c r="H119" i="13"/>
  <c r="I119" i="13"/>
  <c r="B120" i="13"/>
  <c r="E120" i="13"/>
  <c r="F120" i="13" s="1"/>
  <c r="E123" i="55" l="1"/>
  <c r="F123" i="55" s="1"/>
  <c r="I41" i="55"/>
  <c r="I120" i="54"/>
  <c r="G42" i="55"/>
  <c r="H42" i="55"/>
  <c r="F40" i="54"/>
  <c r="G40" i="54" s="1"/>
  <c r="B40" i="54"/>
  <c r="H40" i="54"/>
  <c r="E43" i="55"/>
  <c r="F43" i="55" s="1"/>
  <c r="G43" i="55" s="1"/>
  <c r="B43" i="55"/>
  <c r="J120" i="54"/>
  <c r="D122" i="54"/>
  <c r="E122" i="54" s="1"/>
  <c r="G121" i="54"/>
  <c r="D124" i="55"/>
  <c r="E124" i="55" s="1"/>
  <c r="G123" i="55"/>
  <c r="I122" i="55"/>
  <c r="H122" i="55"/>
  <c r="J122" i="49"/>
  <c r="D124" i="49"/>
  <c r="B124" i="49" s="1"/>
  <c r="G123" i="49"/>
  <c r="H124" i="48"/>
  <c r="I124" i="48"/>
  <c r="E125" i="48"/>
  <c r="F125" i="48" s="1"/>
  <c r="B125" i="48"/>
  <c r="H36" i="48"/>
  <c r="I36" i="48" s="1"/>
  <c r="D37" i="48"/>
  <c r="E37" i="48"/>
  <c r="D37" i="47"/>
  <c r="E37" i="47" s="1"/>
  <c r="F38" i="49"/>
  <c r="B38" i="49"/>
  <c r="G36" i="47"/>
  <c r="I36" i="47" s="1"/>
  <c r="I37" i="13"/>
  <c r="E38" i="13"/>
  <c r="F38" i="13" s="1"/>
  <c r="B38" i="13"/>
  <c r="G38" i="44"/>
  <c r="H38" i="44"/>
  <c r="D39" i="44"/>
  <c r="H38" i="45"/>
  <c r="I38" i="45" s="1"/>
  <c r="G37" i="40"/>
  <c r="I37" i="40" s="1"/>
  <c r="G38" i="38"/>
  <c r="I38" i="38" s="1"/>
  <c r="G37" i="41"/>
  <c r="I37" i="41" s="1"/>
  <c r="G37" i="42"/>
  <c r="I37" i="42" s="1"/>
  <c r="G42" i="27"/>
  <c r="H42" i="27"/>
  <c r="D43" i="27"/>
  <c r="D46" i="22"/>
  <c r="G45" i="22"/>
  <c r="H45" i="22"/>
  <c r="E46" i="22"/>
  <c r="G45" i="25"/>
  <c r="H45" i="25"/>
  <c r="D46" i="25"/>
  <c r="E46" i="25"/>
  <c r="D37" i="43"/>
  <c r="E37" i="43"/>
  <c r="G38" i="39"/>
  <c r="I38" i="39" s="1"/>
  <c r="H43" i="24"/>
  <c r="D44" i="24"/>
  <c r="G43" i="24"/>
  <c r="E44" i="24"/>
  <c r="I48" i="9"/>
  <c r="I37" i="46"/>
  <c r="D41" i="30"/>
  <c r="E41" i="30" s="1"/>
  <c r="H40" i="30"/>
  <c r="G40" i="30"/>
  <c r="D39" i="45"/>
  <c r="E39" i="45" s="1"/>
  <c r="D38" i="41"/>
  <c r="E38" i="41" s="1"/>
  <c r="H49" i="7"/>
  <c r="D50" i="7"/>
  <c r="E50" i="7" s="1"/>
  <c r="G49" i="7"/>
  <c r="G41" i="31"/>
  <c r="D42" i="31"/>
  <c r="E42" i="31" s="1"/>
  <c r="H41" i="31"/>
  <c r="D51" i="10"/>
  <c r="H50" i="10"/>
  <c r="E51" i="10"/>
  <c r="G50" i="10"/>
  <c r="D38" i="40"/>
  <c r="E38" i="40"/>
  <c r="D42" i="28"/>
  <c r="E42" i="28" s="1"/>
  <c r="G41" i="28"/>
  <c r="H41" i="28"/>
  <c r="G46" i="3"/>
  <c r="H46" i="3"/>
  <c r="D47" i="3"/>
  <c r="E47" i="3"/>
  <c r="E40" i="37"/>
  <c r="D40" i="37"/>
  <c r="D48" i="6"/>
  <c r="E48" i="6" s="1"/>
  <c r="G47" i="6"/>
  <c r="H47" i="6"/>
  <c r="G46" i="5"/>
  <c r="H46" i="5"/>
  <c r="D47" i="5"/>
  <c r="E47" i="5" s="1"/>
  <c r="G39" i="37"/>
  <c r="I39" i="37" s="1"/>
  <c r="G41" i="29"/>
  <c r="D42" i="29"/>
  <c r="E42" i="29" s="1"/>
  <c r="H41" i="29"/>
  <c r="H46" i="4"/>
  <c r="D47" i="4"/>
  <c r="E47" i="4" s="1"/>
  <c r="G46" i="4"/>
  <c r="D38" i="42"/>
  <c r="E38" i="42"/>
  <c r="H36" i="43"/>
  <c r="I36" i="43" s="1"/>
  <c r="H44" i="23"/>
  <c r="D45" i="23"/>
  <c r="E45" i="23" s="1"/>
  <c r="G44" i="23"/>
  <c r="G48" i="11"/>
  <c r="H48" i="11"/>
  <c r="D49" i="11"/>
  <c r="E49" i="11" s="1"/>
  <c r="D39" i="39"/>
  <c r="E39" i="39"/>
  <c r="H47" i="8"/>
  <c r="D48" i="8"/>
  <c r="G47" i="8"/>
  <c r="E48" i="8"/>
  <c r="F49" i="9"/>
  <c r="B49" i="9"/>
  <c r="D39" i="38"/>
  <c r="E39" i="38"/>
  <c r="F38" i="46"/>
  <c r="H38" i="46" s="1"/>
  <c r="B38" i="46"/>
  <c r="J119" i="13"/>
  <c r="G120" i="13"/>
  <c r="D121" i="13"/>
  <c r="J122" i="55" l="1"/>
  <c r="I42" i="55"/>
  <c r="I40" i="54"/>
  <c r="D44" i="55"/>
  <c r="E44" i="55"/>
  <c r="H43" i="55"/>
  <c r="I43" i="55" s="1"/>
  <c r="D41" i="54"/>
  <c r="E41" i="54"/>
  <c r="H123" i="55"/>
  <c r="I123" i="55"/>
  <c r="F124" i="55"/>
  <c r="B124" i="55"/>
  <c r="F122" i="54"/>
  <c r="B122" i="54"/>
  <c r="H121" i="54"/>
  <c r="I121" i="54"/>
  <c r="J121" i="54" s="1"/>
  <c r="E124" i="49"/>
  <c r="F124" i="49" s="1"/>
  <c r="D125" i="49" s="1"/>
  <c r="B125" i="49" s="1"/>
  <c r="J124" i="48"/>
  <c r="I123" i="49"/>
  <c r="H123" i="49"/>
  <c r="G125" i="48"/>
  <c r="D126" i="48"/>
  <c r="D39" i="49"/>
  <c r="E39" i="49"/>
  <c r="B37" i="48"/>
  <c r="F37" i="48"/>
  <c r="G37" i="48" s="1"/>
  <c r="G38" i="49"/>
  <c r="F37" i="47"/>
  <c r="B37" i="47"/>
  <c r="H38" i="49"/>
  <c r="G38" i="13"/>
  <c r="H38" i="13"/>
  <c r="D39" i="13"/>
  <c r="I38" i="44"/>
  <c r="E39" i="44"/>
  <c r="F39" i="44" s="1"/>
  <c r="B39" i="44"/>
  <c r="I46" i="5"/>
  <c r="I41" i="31"/>
  <c r="I43" i="24"/>
  <c r="I45" i="25"/>
  <c r="I47" i="8"/>
  <c r="I48" i="11"/>
  <c r="I46" i="4"/>
  <c r="I47" i="6"/>
  <c r="I50" i="10"/>
  <c r="I41" i="28"/>
  <c r="B43" i="27"/>
  <c r="I42" i="27"/>
  <c r="E43" i="27"/>
  <c r="F43" i="27" s="1"/>
  <c r="B49" i="11"/>
  <c r="F49" i="11"/>
  <c r="F47" i="4"/>
  <c r="B47" i="4"/>
  <c r="B45" i="23"/>
  <c r="F45" i="23"/>
  <c r="B38" i="42"/>
  <c r="F38" i="42"/>
  <c r="G38" i="42" s="1"/>
  <c r="B42" i="31"/>
  <c r="F42" i="31"/>
  <c r="B50" i="7"/>
  <c r="F50" i="7"/>
  <c r="I40" i="30"/>
  <c r="F46" i="22"/>
  <c r="B46" i="22"/>
  <c r="D50" i="9"/>
  <c r="E50" i="9" s="1"/>
  <c r="H49" i="9"/>
  <c r="G49" i="9"/>
  <c r="B47" i="5"/>
  <c r="F47" i="5"/>
  <c r="B39" i="38"/>
  <c r="F39" i="38"/>
  <c r="G39" i="38" s="1"/>
  <c r="B39" i="39"/>
  <c r="F39" i="39"/>
  <c r="I44" i="23"/>
  <c r="B48" i="6"/>
  <c r="F48" i="6"/>
  <c r="B47" i="3"/>
  <c r="F47" i="3"/>
  <c r="B38" i="40"/>
  <c r="F38" i="40"/>
  <c r="G38" i="40" s="1"/>
  <c r="B51" i="10"/>
  <c r="F51" i="10"/>
  <c r="I49" i="7"/>
  <c r="F39" i="45"/>
  <c r="B39" i="45"/>
  <c r="B41" i="30"/>
  <c r="F41" i="30"/>
  <c r="D39" i="46"/>
  <c r="E39" i="46" s="1"/>
  <c r="F42" i="29"/>
  <c r="B42" i="29"/>
  <c r="F42" i="28"/>
  <c r="B42" i="28"/>
  <c r="F38" i="41"/>
  <c r="H38" i="41" s="1"/>
  <c r="B38" i="41"/>
  <c r="G38" i="46"/>
  <c r="I38" i="46" s="1"/>
  <c r="B48" i="8"/>
  <c r="F48" i="8"/>
  <c r="I41" i="29"/>
  <c r="F40" i="37"/>
  <c r="B40" i="37"/>
  <c r="I46" i="3"/>
  <c r="F44" i="24"/>
  <c r="B44" i="24"/>
  <c r="B37" i="43"/>
  <c r="F37" i="43"/>
  <c r="G37" i="43" s="1"/>
  <c r="F46" i="25"/>
  <c r="B46" i="25"/>
  <c r="I45" i="22"/>
  <c r="B121" i="13"/>
  <c r="I120" i="13"/>
  <c r="H120" i="13"/>
  <c r="E121" i="13"/>
  <c r="F121" i="13" s="1"/>
  <c r="G124" i="49" l="1"/>
  <c r="J123" i="55"/>
  <c r="F41" i="54"/>
  <c r="B41" i="54"/>
  <c r="G41" i="54"/>
  <c r="H41" i="54"/>
  <c r="F44" i="55"/>
  <c r="G44" i="55" s="1"/>
  <c r="B44" i="55"/>
  <c r="D123" i="54"/>
  <c r="E123" i="54" s="1"/>
  <c r="G122" i="54"/>
  <c r="G124" i="55"/>
  <c r="D125" i="55"/>
  <c r="E125" i="55" s="1"/>
  <c r="E125" i="49"/>
  <c r="F125" i="49" s="1"/>
  <c r="G125" i="49" s="1"/>
  <c r="I38" i="49"/>
  <c r="E126" i="48"/>
  <c r="F126" i="48" s="1"/>
  <c r="B126" i="48"/>
  <c r="H125" i="48"/>
  <c r="I125" i="48"/>
  <c r="H124" i="49"/>
  <c r="I124" i="49"/>
  <c r="J123" i="49"/>
  <c r="D38" i="47"/>
  <c r="E38" i="47" s="1"/>
  <c r="G37" i="47"/>
  <c r="H37" i="47"/>
  <c r="E38" i="48"/>
  <c r="D38" i="48"/>
  <c r="H37" i="48"/>
  <c r="I37" i="48" s="1"/>
  <c r="F39" i="49"/>
  <c r="B39" i="49"/>
  <c r="I38" i="13"/>
  <c r="E39" i="13"/>
  <c r="F39" i="13" s="1"/>
  <c r="B39" i="13"/>
  <c r="H39" i="44"/>
  <c r="G39" i="44"/>
  <c r="D40" i="44"/>
  <c r="H38" i="40"/>
  <c r="I38" i="40" s="1"/>
  <c r="H43" i="27"/>
  <c r="D44" i="27"/>
  <c r="E44" i="27"/>
  <c r="G43" i="27"/>
  <c r="H46" i="25"/>
  <c r="G46" i="25"/>
  <c r="D47" i="25"/>
  <c r="E47" i="25"/>
  <c r="H42" i="29"/>
  <c r="G42" i="29"/>
  <c r="D43" i="29"/>
  <c r="E43" i="29"/>
  <c r="D40" i="45"/>
  <c r="F50" i="9"/>
  <c r="B50" i="9"/>
  <c r="H47" i="4"/>
  <c r="D48" i="4"/>
  <c r="G47" i="4"/>
  <c r="E48" i="4"/>
  <c r="H39" i="45"/>
  <c r="D39" i="40"/>
  <c r="E39" i="40"/>
  <c r="G47" i="3"/>
  <c r="H47" i="3"/>
  <c r="D48" i="3"/>
  <c r="E48" i="3"/>
  <c r="G50" i="7"/>
  <c r="H50" i="7"/>
  <c r="D51" i="7"/>
  <c r="E51" i="7" s="1"/>
  <c r="G45" i="23"/>
  <c r="D46" i="23"/>
  <c r="H45" i="23"/>
  <c r="E46" i="23"/>
  <c r="H49" i="11"/>
  <c r="D50" i="11"/>
  <c r="G49" i="11"/>
  <c r="E50" i="11"/>
  <c r="D41" i="37"/>
  <c r="E41" i="37" s="1"/>
  <c r="D39" i="41"/>
  <c r="E39" i="41"/>
  <c r="D42" i="30"/>
  <c r="H41" i="30"/>
  <c r="G41" i="30"/>
  <c r="E42" i="30"/>
  <c r="D40" i="39"/>
  <c r="E40" i="39"/>
  <c r="H47" i="5"/>
  <c r="D48" i="5"/>
  <c r="E48" i="5" s="1"/>
  <c r="G47" i="5"/>
  <c r="D38" i="43"/>
  <c r="E38" i="43"/>
  <c r="H40" i="37"/>
  <c r="H48" i="8"/>
  <c r="D49" i="8"/>
  <c r="E49" i="8" s="1"/>
  <c r="G48" i="8"/>
  <c r="H42" i="28"/>
  <c r="D43" i="28"/>
  <c r="E43" i="28" s="1"/>
  <c r="G42" i="28"/>
  <c r="F39" i="46"/>
  <c r="H39" i="46" s="1"/>
  <c r="B39" i="46"/>
  <c r="G39" i="45"/>
  <c r="H39" i="39"/>
  <c r="D40" i="38"/>
  <c r="E40" i="38"/>
  <c r="D39" i="42"/>
  <c r="E39" i="42" s="1"/>
  <c r="H37" i="43"/>
  <c r="I37" i="43" s="1"/>
  <c r="G44" i="24"/>
  <c r="H44" i="24"/>
  <c r="D45" i="24"/>
  <c r="E45" i="24"/>
  <c r="G40" i="37"/>
  <c r="G38" i="41"/>
  <c r="I38" i="41" s="1"/>
  <c r="D52" i="10"/>
  <c r="E52" i="10" s="1"/>
  <c r="H51" i="10"/>
  <c r="G51" i="10"/>
  <c r="G48" i="6"/>
  <c r="H48" i="6"/>
  <c r="D49" i="6"/>
  <c r="E49" i="6" s="1"/>
  <c r="G39" i="39"/>
  <c r="H39" i="38"/>
  <c r="I39" i="38" s="1"/>
  <c r="I49" i="9"/>
  <c r="D47" i="22"/>
  <c r="E47" i="22" s="1"/>
  <c r="G46" i="22"/>
  <c r="H46" i="22"/>
  <c r="D43" i="31"/>
  <c r="E43" i="31" s="1"/>
  <c r="G42" i="31"/>
  <c r="H42" i="31"/>
  <c r="H38" i="42"/>
  <c r="I38" i="42" s="1"/>
  <c r="J120" i="13"/>
  <c r="D122" i="13"/>
  <c r="E122" i="13" s="1"/>
  <c r="G121" i="13"/>
  <c r="I41" i="54" l="1"/>
  <c r="H44" i="55"/>
  <c r="D45" i="55"/>
  <c r="E45" i="55"/>
  <c r="I44" i="55"/>
  <c r="D42" i="54"/>
  <c r="E42" i="54"/>
  <c r="D126" i="49"/>
  <c r="B126" i="49" s="1"/>
  <c r="B125" i="55"/>
  <c r="F125" i="55"/>
  <c r="I124" i="55"/>
  <c r="H124" i="55"/>
  <c r="H122" i="54"/>
  <c r="I122" i="54"/>
  <c r="B123" i="54"/>
  <c r="F123" i="54"/>
  <c r="I37" i="47"/>
  <c r="I125" i="49"/>
  <c r="H125" i="49"/>
  <c r="D127" i="48"/>
  <c r="B127" i="48" s="1"/>
  <c r="G126" i="48"/>
  <c r="J124" i="49"/>
  <c r="J125" i="48"/>
  <c r="G39" i="49"/>
  <c r="D40" i="49"/>
  <c r="E40" i="49"/>
  <c r="H39" i="49"/>
  <c r="F38" i="48"/>
  <c r="G38" i="48" s="1"/>
  <c r="B38" i="48"/>
  <c r="B38" i="47"/>
  <c r="F38" i="47"/>
  <c r="G38" i="47" s="1"/>
  <c r="G39" i="13"/>
  <c r="H39" i="13"/>
  <c r="D40" i="13"/>
  <c r="I39" i="44"/>
  <c r="E40" i="44"/>
  <c r="F40" i="44" s="1"/>
  <c r="H40" i="44" s="1"/>
  <c r="B40" i="44"/>
  <c r="I50" i="7"/>
  <c r="I47" i="3"/>
  <c r="I51" i="10"/>
  <c r="G39" i="46"/>
  <c r="I39" i="46" s="1"/>
  <c r="I42" i="28"/>
  <c r="I48" i="8"/>
  <c r="I41" i="30"/>
  <c r="B44" i="27"/>
  <c r="F44" i="27"/>
  <c r="I44" i="24"/>
  <c r="I49" i="11"/>
  <c r="I43" i="27"/>
  <c r="B47" i="22"/>
  <c r="F47" i="22"/>
  <c r="B52" i="10"/>
  <c r="F52" i="10"/>
  <c r="F50" i="11"/>
  <c r="B50" i="11"/>
  <c r="D51" i="9"/>
  <c r="H50" i="9"/>
  <c r="E51" i="9"/>
  <c r="G50" i="9"/>
  <c r="I39" i="39"/>
  <c r="I40" i="37"/>
  <c r="B40" i="39"/>
  <c r="F40" i="39"/>
  <c r="G40" i="39" s="1"/>
  <c r="B42" i="30"/>
  <c r="F42" i="30"/>
  <c r="F51" i="7"/>
  <c r="B51" i="7"/>
  <c r="B48" i="3"/>
  <c r="F48" i="3"/>
  <c r="B39" i="40"/>
  <c r="F39" i="40"/>
  <c r="G39" i="40" s="1"/>
  <c r="B48" i="4"/>
  <c r="F48" i="4"/>
  <c r="B40" i="45"/>
  <c r="F40" i="38"/>
  <c r="H40" i="38" s="1"/>
  <c r="B40" i="38"/>
  <c r="F46" i="23"/>
  <c r="B46" i="23"/>
  <c r="F47" i="25"/>
  <c r="B47" i="25"/>
  <c r="I42" i="31"/>
  <c r="I46" i="22"/>
  <c r="B49" i="6"/>
  <c r="F49" i="6"/>
  <c r="F39" i="42"/>
  <c r="B39" i="42"/>
  <c r="D40" i="46"/>
  <c r="B48" i="5"/>
  <c r="F48" i="5"/>
  <c r="I39" i="45"/>
  <c r="I47" i="4"/>
  <c r="E40" i="45"/>
  <c r="F40" i="45" s="1"/>
  <c r="I42" i="29"/>
  <c r="I46" i="25"/>
  <c r="F43" i="31"/>
  <c r="B43" i="31"/>
  <c r="B45" i="24"/>
  <c r="F45" i="24"/>
  <c r="F41" i="37"/>
  <c r="H41" i="37" s="1"/>
  <c r="B41" i="37"/>
  <c r="B43" i="29"/>
  <c r="F43" i="29"/>
  <c r="I48" i="6"/>
  <c r="F43" i="28"/>
  <c r="B43" i="28"/>
  <c r="F49" i="8"/>
  <c r="B49" i="8"/>
  <c r="F38" i="43"/>
  <c r="H38" i="43" s="1"/>
  <c r="B38" i="43"/>
  <c r="I47" i="5"/>
  <c r="B39" i="41"/>
  <c r="F39" i="41"/>
  <c r="G39" i="41" s="1"/>
  <c r="I45" i="23"/>
  <c r="H121" i="13"/>
  <c r="I121" i="13"/>
  <c r="F122" i="13"/>
  <c r="B122" i="13"/>
  <c r="J122" i="54" l="1"/>
  <c r="E126" i="49"/>
  <c r="F126" i="49" s="1"/>
  <c r="F42" i="54"/>
  <c r="D43" i="54" s="1"/>
  <c r="B42" i="54"/>
  <c r="B45" i="55"/>
  <c r="F45" i="55"/>
  <c r="G45" i="55" s="1"/>
  <c r="J124" i="55"/>
  <c r="D126" i="55"/>
  <c r="E126" i="55" s="1"/>
  <c r="G125" i="55"/>
  <c r="D124" i="54"/>
  <c r="G123" i="54"/>
  <c r="E124" i="54"/>
  <c r="I39" i="13"/>
  <c r="I39" i="49"/>
  <c r="D127" i="49"/>
  <c r="G126" i="49"/>
  <c r="I126" i="48"/>
  <c r="H126" i="48"/>
  <c r="E127" i="48"/>
  <c r="F127" i="48" s="1"/>
  <c r="J125" i="49"/>
  <c r="D39" i="47"/>
  <c r="E39" i="47" s="1"/>
  <c r="B40" i="49"/>
  <c r="F40" i="49"/>
  <c r="G40" i="49" s="1"/>
  <c r="H38" i="47"/>
  <c r="I38" i="47" s="1"/>
  <c r="H38" i="48"/>
  <c r="I38" i="48" s="1"/>
  <c r="D39" i="48"/>
  <c r="E39" i="48" s="1"/>
  <c r="E40" i="13"/>
  <c r="F40" i="13" s="1"/>
  <c r="G40" i="13" s="1"/>
  <c r="B40" i="13"/>
  <c r="G40" i="44"/>
  <c r="I40" i="44" s="1"/>
  <c r="D41" i="44"/>
  <c r="E41" i="44" s="1"/>
  <c r="I50" i="9"/>
  <c r="G40" i="38"/>
  <c r="I40" i="38" s="1"/>
  <c r="H39" i="40"/>
  <c r="I39" i="40" s="1"/>
  <c r="D45" i="27"/>
  <c r="E45" i="27"/>
  <c r="G44" i="27"/>
  <c r="H44" i="27"/>
  <c r="D41" i="45"/>
  <c r="H40" i="45"/>
  <c r="G40" i="45"/>
  <c r="B40" i="46"/>
  <c r="D40" i="42"/>
  <c r="E40" i="42" s="1"/>
  <c r="H52" i="10"/>
  <c r="D53" i="10"/>
  <c r="E53" i="10" s="1"/>
  <c r="G52" i="10"/>
  <c r="D40" i="41"/>
  <c r="E40" i="41" s="1"/>
  <c r="D44" i="28"/>
  <c r="H43" i="28"/>
  <c r="G43" i="28"/>
  <c r="E44" i="28"/>
  <c r="H45" i="24"/>
  <c r="D46" i="24"/>
  <c r="E46" i="24" s="1"/>
  <c r="G45" i="24"/>
  <c r="E40" i="46"/>
  <c r="F40" i="46" s="1"/>
  <c r="H39" i="42"/>
  <c r="D48" i="25"/>
  <c r="E48" i="25" s="1"/>
  <c r="G47" i="25"/>
  <c r="H47" i="25"/>
  <c r="G51" i="7"/>
  <c r="D52" i="7"/>
  <c r="E52" i="7" s="1"/>
  <c r="H51" i="7"/>
  <c r="D41" i="39"/>
  <c r="E41" i="39"/>
  <c r="F51" i="9"/>
  <c r="B51" i="9"/>
  <c r="D42" i="37"/>
  <c r="E42" i="37"/>
  <c r="H48" i="4"/>
  <c r="G48" i="4"/>
  <c r="D49" i="4"/>
  <c r="E49" i="4"/>
  <c r="H39" i="41"/>
  <c r="I39" i="41" s="1"/>
  <c r="H48" i="5"/>
  <c r="D49" i="5"/>
  <c r="G48" i="5"/>
  <c r="E49" i="5"/>
  <c r="D50" i="6"/>
  <c r="E50" i="6" s="1"/>
  <c r="H49" i="6"/>
  <c r="G49" i="6"/>
  <c r="H48" i="3"/>
  <c r="G48" i="3"/>
  <c r="D49" i="3"/>
  <c r="E49" i="3"/>
  <c r="D43" i="30"/>
  <c r="E43" i="30" s="1"/>
  <c r="G42" i="30"/>
  <c r="H42" i="30"/>
  <c r="D48" i="22"/>
  <c r="E48" i="22" s="1"/>
  <c r="G47" i="22"/>
  <c r="H47" i="22"/>
  <c r="D39" i="43"/>
  <c r="E39" i="43" s="1"/>
  <c r="D44" i="31"/>
  <c r="E44" i="31" s="1"/>
  <c r="G43" i="31"/>
  <c r="H43" i="31"/>
  <c r="G38" i="43"/>
  <c r="I38" i="43" s="1"/>
  <c r="D50" i="8"/>
  <c r="E50" i="8" s="1"/>
  <c r="G49" i="8"/>
  <c r="H49" i="8"/>
  <c r="H43" i="29"/>
  <c r="G43" i="29"/>
  <c r="D44" i="29"/>
  <c r="E44" i="29"/>
  <c r="G41" i="37"/>
  <c r="I41" i="37" s="1"/>
  <c r="G39" i="42"/>
  <c r="D47" i="23"/>
  <c r="E47" i="23" s="1"/>
  <c r="G46" i="23"/>
  <c r="H46" i="23"/>
  <c r="D41" i="38"/>
  <c r="E41" i="38"/>
  <c r="D40" i="40"/>
  <c r="E40" i="40" s="1"/>
  <c r="H40" i="39"/>
  <c r="I40" i="39" s="1"/>
  <c r="H50" i="11"/>
  <c r="D51" i="11"/>
  <c r="E51" i="11" s="1"/>
  <c r="G50" i="11"/>
  <c r="J121" i="13"/>
  <c r="D123" i="13"/>
  <c r="E123" i="13" s="1"/>
  <c r="G122" i="13"/>
  <c r="G42" i="54" l="1"/>
  <c r="H42" i="54"/>
  <c r="E43" i="54"/>
  <c r="D46" i="55"/>
  <c r="E46" i="55"/>
  <c r="H45" i="55"/>
  <c r="I45" i="55" s="1"/>
  <c r="B43" i="54"/>
  <c r="F43" i="54"/>
  <c r="H43" i="54" s="1"/>
  <c r="F124" i="54"/>
  <c r="B124" i="54"/>
  <c r="F126" i="55"/>
  <c r="B126" i="55"/>
  <c r="I123" i="54"/>
  <c r="H123" i="54"/>
  <c r="H125" i="55"/>
  <c r="I125" i="55"/>
  <c r="H40" i="49"/>
  <c r="I40" i="49" s="1"/>
  <c r="J126" i="48"/>
  <c r="H126" i="49"/>
  <c r="I126" i="49"/>
  <c r="J126" i="49" s="1"/>
  <c r="G127" i="48"/>
  <c r="D128" i="48"/>
  <c r="B128" i="48" s="1"/>
  <c r="E127" i="49"/>
  <c r="F127" i="49" s="1"/>
  <c r="B127" i="49"/>
  <c r="F39" i="47"/>
  <c r="G39" i="47" s="1"/>
  <c r="B39" i="47"/>
  <c r="F39" i="48"/>
  <c r="G39" i="48" s="1"/>
  <c r="B39" i="48"/>
  <c r="E41" i="49"/>
  <c r="D41" i="49"/>
  <c r="H40" i="13"/>
  <c r="I40" i="13" s="1"/>
  <c r="D41" i="13"/>
  <c r="I44" i="27"/>
  <c r="F41" i="44"/>
  <c r="G41" i="44" s="1"/>
  <c r="B41" i="44"/>
  <c r="I43" i="31"/>
  <c r="I47" i="22"/>
  <c r="I47" i="25"/>
  <c r="I48" i="5"/>
  <c r="I73" i="5" s="1"/>
  <c r="I42" i="30"/>
  <c r="I50" i="11"/>
  <c r="I48" i="3"/>
  <c r="I52" i="10"/>
  <c r="I45" i="24"/>
  <c r="B45" i="27"/>
  <c r="F45" i="27"/>
  <c r="D41" i="46"/>
  <c r="G40" i="46"/>
  <c r="H40" i="46"/>
  <c r="F48" i="22"/>
  <c r="B48" i="22"/>
  <c r="B50" i="6"/>
  <c r="F50" i="6"/>
  <c r="B52" i="7"/>
  <c r="F52" i="7"/>
  <c r="F44" i="28"/>
  <c r="B44" i="28"/>
  <c r="B41" i="45"/>
  <c r="F41" i="38"/>
  <c r="G41" i="38" s="1"/>
  <c r="B41" i="38"/>
  <c r="B47" i="23"/>
  <c r="F47" i="23"/>
  <c r="B44" i="29"/>
  <c r="F44" i="29"/>
  <c r="I49" i="8"/>
  <c r="I48" i="4"/>
  <c r="F41" i="39"/>
  <c r="G41" i="39" s="1"/>
  <c r="B41" i="39"/>
  <c r="B53" i="10"/>
  <c r="F53" i="10"/>
  <c r="F40" i="42"/>
  <c r="G40" i="42" s="1"/>
  <c r="B40" i="42"/>
  <c r="E41" i="45"/>
  <c r="F41" i="45" s="1"/>
  <c r="F44" i="31"/>
  <c r="B44" i="31"/>
  <c r="F49" i="3"/>
  <c r="B49" i="3"/>
  <c r="B48" i="25"/>
  <c r="F48" i="25"/>
  <c r="B40" i="41"/>
  <c r="F40" i="41"/>
  <c r="F39" i="43"/>
  <c r="G39" i="43" s="1"/>
  <c r="B39" i="43"/>
  <c r="B43" i="30"/>
  <c r="F43" i="30"/>
  <c r="F51" i="11"/>
  <c r="B51" i="11"/>
  <c r="B40" i="40"/>
  <c r="F40" i="40"/>
  <c r="H40" i="40" s="1"/>
  <c r="I46" i="23"/>
  <c r="I43" i="29"/>
  <c r="B50" i="8"/>
  <c r="F50" i="8"/>
  <c r="I49" i="6"/>
  <c r="B49" i="5"/>
  <c r="F49" i="5"/>
  <c r="F49" i="4"/>
  <c r="B49" i="4"/>
  <c r="B42" i="37"/>
  <c r="F42" i="37"/>
  <c r="G42" i="37" s="1"/>
  <c r="H51" i="9"/>
  <c r="D52" i="9"/>
  <c r="E52" i="9"/>
  <c r="G51" i="9"/>
  <c r="I51" i="7"/>
  <c r="I39" i="42"/>
  <c r="B46" i="24"/>
  <c r="F46" i="24"/>
  <c r="I43" i="28"/>
  <c r="I40" i="45"/>
  <c r="I122" i="13"/>
  <c r="H122" i="13"/>
  <c r="F123" i="13"/>
  <c r="B123" i="13"/>
  <c r="J125" i="55" l="1"/>
  <c r="G43" i="54"/>
  <c r="I42" i="54"/>
  <c r="I43" i="54"/>
  <c r="D44" i="54"/>
  <c r="E44" i="54"/>
  <c r="F46" i="55"/>
  <c r="H46" i="55" s="1"/>
  <c r="B46" i="55"/>
  <c r="J123" i="54"/>
  <c r="G126" i="55"/>
  <c r="D127" i="55"/>
  <c r="D125" i="54"/>
  <c r="E125" i="54" s="1"/>
  <c r="G124" i="54"/>
  <c r="E128" i="48"/>
  <c r="F128" i="48" s="1"/>
  <c r="G128" i="48" s="1"/>
  <c r="H39" i="48"/>
  <c r="I39" i="48" s="1"/>
  <c r="H39" i="47"/>
  <c r="I39" i="47" s="1"/>
  <c r="G127" i="49"/>
  <c r="D128" i="49"/>
  <c r="H127" i="48"/>
  <c r="I127" i="48"/>
  <c r="F41" i="49"/>
  <c r="D42" i="49" s="1"/>
  <c r="B41" i="49"/>
  <c r="D40" i="48"/>
  <c r="E40" i="48"/>
  <c r="D40" i="47"/>
  <c r="E40" i="47" s="1"/>
  <c r="E41" i="13"/>
  <c r="F41" i="13" s="1"/>
  <c r="B41" i="13"/>
  <c r="H41" i="44"/>
  <c r="I41" i="44" s="1"/>
  <c r="D42" i="44"/>
  <c r="G40" i="40"/>
  <c r="I40" i="40" s="1"/>
  <c r="H41" i="38"/>
  <c r="I41" i="38" s="1"/>
  <c r="I40" i="46"/>
  <c r="I51" i="9"/>
  <c r="H40" i="42"/>
  <c r="I40" i="42" s="1"/>
  <c r="H39" i="43"/>
  <c r="I39" i="43" s="1"/>
  <c r="D46" i="27"/>
  <c r="E46" i="27"/>
  <c r="G45" i="27"/>
  <c r="H45" i="27"/>
  <c r="D42" i="45"/>
  <c r="H41" i="45"/>
  <c r="G41" i="45"/>
  <c r="D41" i="41"/>
  <c r="E41" i="41"/>
  <c r="D45" i="31"/>
  <c r="G44" i="31"/>
  <c r="H44" i="31"/>
  <c r="E45" i="31"/>
  <c r="D47" i="24"/>
  <c r="E47" i="24" s="1"/>
  <c r="G46" i="24"/>
  <c r="H46" i="24"/>
  <c r="G43" i="30"/>
  <c r="H43" i="30"/>
  <c r="D44" i="30"/>
  <c r="E44" i="30"/>
  <c r="D42" i="39"/>
  <c r="E42" i="39" s="1"/>
  <c r="D45" i="28"/>
  <c r="E45" i="28" s="1"/>
  <c r="H44" i="28"/>
  <c r="G44" i="28"/>
  <c r="F52" i="9"/>
  <c r="B52" i="9"/>
  <c r="G49" i="5"/>
  <c r="D50" i="5"/>
  <c r="H49" i="5"/>
  <c r="E50" i="5"/>
  <c r="D54" i="10"/>
  <c r="E54" i="10" s="1"/>
  <c r="H53" i="10"/>
  <c r="G53" i="10"/>
  <c r="G44" i="29"/>
  <c r="H44" i="29"/>
  <c r="D45" i="29"/>
  <c r="E45" i="29"/>
  <c r="D43" i="37"/>
  <c r="E43" i="37" s="1"/>
  <c r="D40" i="43"/>
  <c r="E40" i="43"/>
  <c r="H40" i="41"/>
  <c r="H49" i="3"/>
  <c r="G49" i="3"/>
  <c r="D50" i="3"/>
  <c r="E50" i="3"/>
  <c r="H41" i="39"/>
  <c r="I41" i="39" s="1"/>
  <c r="D48" i="23"/>
  <c r="E48" i="23" s="1"/>
  <c r="H47" i="23"/>
  <c r="G47" i="23"/>
  <c r="D53" i="7"/>
  <c r="E53" i="7" s="1"/>
  <c r="G52" i="7"/>
  <c r="H52" i="7"/>
  <c r="B41" i="46"/>
  <c r="H51" i="11"/>
  <c r="D52" i="11"/>
  <c r="G51" i="11"/>
  <c r="E52" i="11"/>
  <c r="D51" i="6"/>
  <c r="H50" i="6"/>
  <c r="G50" i="6"/>
  <c r="E51" i="6"/>
  <c r="H42" i="37"/>
  <c r="I42" i="37" s="1"/>
  <c r="H49" i="4"/>
  <c r="G49" i="4"/>
  <c r="D50" i="4"/>
  <c r="E50" i="4" s="1"/>
  <c r="H50" i="8"/>
  <c r="D51" i="8"/>
  <c r="E51" i="8" s="1"/>
  <c r="G50" i="8"/>
  <c r="D41" i="40"/>
  <c r="E41" i="40"/>
  <c r="G40" i="41"/>
  <c r="D49" i="25"/>
  <c r="G48" i="25"/>
  <c r="H48" i="25"/>
  <c r="E49" i="25"/>
  <c r="D41" i="42"/>
  <c r="E41" i="42" s="1"/>
  <c r="D42" i="38"/>
  <c r="E42" i="38"/>
  <c r="G48" i="22"/>
  <c r="D49" i="22"/>
  <c r="H48" i="22"/>
  <c r="E49" i="22"/>
  <c r="E41" i="46"/>
  <c r="F41" i="46" s="1"/>
  <c r="G123" i="13"/>
  <c r="D124" i="13"/>
  <c r="J122" i="13"/>
  <c r="D129" i="48" l="1"/>
  <c r="G46" i="55"/>
  <c r="I46" i="55" s="1"/>
  <c r="D47" i="55"/>
  <c r="E47" i="55"/>
  <c r="B44" i="54"/>
  <c r="F44" i="54"/>
  <c r="G44" i="54" s="1"/>
  <c r="H124" i="54"/>
  <c r="I124" i="54"/>
  <c r="B125" i="54"/>
  <c r="F125" i="54"/>
  <c r="E127" i="55"/>
  <c r="B127" i="55"/>
  <c r="F127" i="55"/>
  <c r="I126" i="55"/>
  <c r="H126" i="55"/>
  <c r="J127" i="48"/>
  <c r="E129" i="48"/>
  <c r="F129" i="48" s="1"/>
  <c r="B129" i="48"/>
  <c r="H128" i="48"/>
  <c r="I128" i="48"/>
  <c r="E128" i="49"/>
  <c r="F128" i="49" s="1"/>
  <c r="B128" i="49"/>
  <c r="H127" i="49"/>
  <c r="I127" i="49"/>
  <c r="B40" i="47"/>
  <c r="F40" i="47"/>
  <c r="H40" i="47" s="1"/>
  <c r="E42" i="49"/>
  <c r="F42" i="49" s="1"/>
  <c r="B42" i="49"/>
  <c r="H41" i="49"/>
  <c r="F40" i="48"/>
  <c r="G40" i="48" s="1"/>
  <c r="B40" i="48"/>
  <c r="G41" i="49"/>
  <c r="G41" i="13"/>
  <c r="D42" i="13"/>
  <c r="H41" i="13"/>
  <c r="E42" i="44"/>
  <c r="F42" i="44" s="1"/>
  <c r="B42" i="44"/>
  <c r="I45" i="27"/>
  <c r="F46" i="27"/>
  <c r="B46" i="27"/>
  <c r="I50" i="8"/>
  <c r="I49" i="4"/>
  <c r="I50" i="6"/>
  <c r="I40" i="41"/>
  <c r="I51" i="11"/>
  <c r="I47" i="23"/>
  <c r="I49" i="3"/>
  <c r="I46" i="24"/>
  <c r="D42" i="46"/>
  <c r="E42" i="46" s="1"/>
  <c r="H41" i="46"/>
  <c r="G41" i="46"/>
  <c r="F41" i="42"/>
  <c r="G41" i="42" s="1"/>
  <c r="B41" i="42"/>
  <c r="B51" i="6"/>
  <c r="F51" i="6"/>
  <c r="B53" i="7"/>
  <c r="F53" i="7"/>
  <c r="F54" i="10"/>
  <c r="B54" i="10"/>
  <c r="F42" i="39"/>
  <c r="H42" i="39" s="1"/>
  <c r="B42" i="39"/>
  <c r="B50" i="4"/>
  <c r="F50" i="4"/>
  <c r="F50" i="3"/>
  <c r="B50" i="3"/>
  <c r="I44" i="28"/>
  <c r="B44" i="30"/>
  <c r="F44" i="30"/>
  <c r="F45" i="31"/>
  <c r="B45" i="31"/>
  <c r="I41" i="45"/>
  <c r="F49" i="25"/>
  <c r="B49" i="25"/>
  <c r="F48" i="23"/>
  <c r="B48" i="23"/>
  <c r="B43" i="37"/>
  <c r="F43" i="37"/>
  <c r="H43" i="37" s="1"/>
  <c r="I48" i="22"/>
  <c r="B42" i="38"/>
  <c r="F42" i="38"/>
  <c r="H42" i="38" s="1"/>
  <c r="I48" i="25"/>
  <c r="F51" i="8"/>
  <c r="B51" i="8"/>
  <c r="I52" i="7"/>
  <c r="B40" i="43"/>
  <c r="F40" i="43"/>
  <c r="G40" i="43" s="1"/>
  <c r="B45" i="29"/>
  <c r="F45" i="29"/>
  <c r="I53" i="10"/>
  <c r="G52" i="9"/>
  <c r="H52" i="9"/>
  <c r="D53" i="9"/>
  <c r="E53" i="9" s="1"/>
  <c r="F45" i="28"/>
  <c r="B45" i="28"/>
  <c r="I43" i="30"/>
  <c r="B42" i="45"/>
  <c r="F49" i="22"/>
  <c r="B49" i="22"/>
  <c r="B41" i="40"/>
  <c r="F41" i="40"/>
  <c r="G41" i="40" s="1"/>
  <c r="B52" i="11"/>
  <c r="F52" i="11"/>
  <c r="I44" i="29"/>
  <c r="B50" i="5"/>
  <c r="F50" i="5"/>
  <c r="F47" i="24"/>
  <c r="B47" i="24"/>
  <c r="I44" i="31"/>
  <c r="F41" i="41"/>
  <c r="H41" i="41" s="1"/>
  <c r="B41" i="41"/>
  <c r="E42" i="45"/>
  <c r="F42" i="45" s="1"/>
  <c r="H123" i="13"/>
  <c r="I123" i="13"/>
  <c r="B124" i="13"/>
  <c r="E124" i="13"/>
  <c r="F124" i="13" s="1"/>
  <c r="H44" i="54" l="1"/>
  <c r="J124" i="54"/>
  <c r="J126" i="55"/>
  <c r="I44" i="54"/>
  <c r="D45" i="54"/>
  <c r="E45" i="54"/>
  <c r="F47" i="55"/>
  <c r="H47" i="55" s="1"/>
  <c r="B47" i="55"/>
  <c r="G127" i="55"/>
  <c r="D128" i="55"/>
  <c r="E128" i="55"/>
  <c r="D126" i="54"/>
  <c r="E126" i="54" s="1"/>
  <c r="G125" i="54"/>
  <c r="J127" i="49"/>
  <c r="G40" i="47"/>
  <c r="I40" i="47" s="1"/>
  <c r="D129" i="49"/>
  <c r="B129" i="49" s="1"/>
  <c r="G128" i="49"/>
  <c r="G129" i="48"/>
  <c r="D130" i="48"/>
  <c r="B130" i="48" s="1"/>
  <c r="J128" i="48"/>
  <c r="E43" i="49"/>
  <c r="D43" i="49"/>
  <c r="G42" i="49"/>
  <c r="H42" i="49"/>
  <c r="H40" i="48"/>
  <c r="I40" i="48" s="1"/>
  <c r="D41" i="48"/>
  <c r="E41" i="48" s="1"/>
  <c r="I41" i="49"/>
  <c r="D41" i="47"/>
  <c r="E41" i="47" s="1"/>
  <c r="I41" i="13"/>
  <c r="E42" i="13"/>
  <c r="F42" i="13" s="1"/>
  <c r="B42" i="13"/>
  <c r="D43" i="44"/>
  <c r="G42" i="44"/>
  <c r="H42" i="44"/>
  <c r="H41" i="42"/>
  <c r="I41" i="42" s="1"/>
  <c r="G42" i="39"/>
  <c r="I42" i="39" s="1"/>
  <c r="G43" i="37"/>
  <c r="I43" i="37" s="1"/>
  <c r="G41" i="41"/>
  <c r="I41" i="41" s="1"/>
  <c r="G42" i="38"/>
  <c r="I42" i="38" s="1"/>
  <c r="G46" i="27"/>
  <c r="H46" i="27"/>
  <c r="D47" i="27"/>
  <c r="D43" i="45"/>
  <c r="E43" i="45" s="1"/>
  <c r="H42" i="45"/>
  <c r="G42" i="45"/>
  <c r="D42" i="40"/>
  <c r="E42" i="40"/>
  <c r="D50" i="22"/>
  <c r="G49" i="22"/>
  <c r="H49" i="22"/>
  <c r="E50" i="22"/>
  <c r="H45" i="28"/>
  <c r="G45" i="28"/>
  <c r="D46" i="28"/>
  <c r="E46" i="28"/>
  <c r="G48" i="23"/>
  <c r="D49" i="23"/>
  <c r="E49" i="23" s="1"/>
  <c r="H48" i="23"/>
  <c r="I41" i="46"/>
  <c r="H50" i="4"/>
  <c r="G50" i="4"/>
  <c r="D51" i="4"/>
  <c r="E51" i="4" s="1"/>
  <c r="D48" i="24"/>
  <c r="E48" i="24" s="1"/>
  <c r="G47" i="24"/>
  <c r="H47" i="24"/>
  <c r="G52" i="11"/>
  <c r="D53" i="11"/>
  <c r="E53" i="11" s="1"/>
  <c r="H52" i="11"/>
  <c r="B53" i="9"/>
  <c r="F53" i="9"/>
  <c r="D41" i="43"/>
  <c r="E41" i="43" s="1"/>
  <c r="D43" i="38"/>
  <c r="E43" i="38"/>
  <c r="D44" i="37"/>
  <c r="E44" i="37" s="1"/>
  <c r="H45" i="31"/>
  <c r="D46" i="31"/>
  <c r="G45" i="31"/>
  <c r="E46" i="31"/>
  <c r="H51" i="6"/>
  <c r="D52" i="6"/>
  <c r="E52" i="6" s="1"/>
  <c r="G51" i="6"/>
  <c r="G53" i="7"/>
  <c r="D54" i="7"/>
  <c r="E54" i="7" s="1"/>
  <c r="H53" i="7"/>
  <c r="D42" i="41"/>
  <c r="E42" i="41"/>
  <c r="G50" i="5"/>
  <c r="D51" i="5"/>
  <c r="H50" i="5"/>
  <c r="E51" i="5"/>
  <c r="H41" i="40"/>
  <c r="I41" i="40" s="1"/>
  <c r="I52" i="9"/>
  <c r="G45" i="29"/>
  <c r="H45" i="29"/>
  <c r="D46" i="29"/>
  <c r="E46" i="29" s="1"/>
  <c r="H40" i="43"/>
  <c r="I40" i="43" s="1"/>
  <c r="G51" i="8"/>
  <c r="D52" i="8"/>
  <c r="E52" i="8" s="1"/>
  <c r="H51" i="8"/>
  <c r="G49" i="25"/>
  <c r="H49" i="25"/>
  <c r="D50" i="25"/>
  <c r="E50" i="25"/>
  <c r="G44" i="30"/>
  <c r="H44" i="30"/>
  <c r="D45" i="30"/>
  <c r="E45" i="30"/>
  <c r="G50" i="3"/>
  <c r="D51" i="3"/>
  <c r="H50" i="3"/>
  <c r="E51" i="3"/>
  <c r="D43" i="39"/>
  <c r="E43" i="39" s="1"/>
  <c r="H54" i="10"/>
  <c r="D55" i="10"/>
  <c r="E55" i="10" s="1"/>
  <c r="G54" i="10"/>
  <c r="D42" i="42"/>
  <c r="E42" i="42"/>
  <c r="B42" i="46"/>
  <c r="F42" i="46"/>
  <c r="G42" i="46" s="1"/>
  <c r="J123" i="13"/>
  <c r="G124" i="13"/>
  <c r="D125" i="13"/>
  <c r="E125" i="13" s="1"/>
  <c r="G47" i="55" l="1"/>
  <c r="I47" i="55" s="1"/>
  <c r="D48" i="55"/>
  <c r="E48" i="55"/>
  <c r="B45" i="54"/>
  <c r="F45" i="54"/>
  <c r="G45" i="54" s="1"/>
  <c r="H125" i="54"/>
  <c r="I125" i="54"/>
  <c r="B126" i="54"/>
  <c r="F126" i="54"/>
  <c r="F128" i="55"/>
  <c r="B128" i="55"/>
  <c r="I127" i="55"/>
  <c r="H127" i="55"/>
  <c r="E129" i="49"/>
  <c r="F129" i="49" s="1"/>
  <c r="G129" i="49" s="1"/>
  <c r="E130" i="48"/>
  <c r="F130" i="48" s="1"/>
  <c r="G130" i="48" s="1"/>
  <c r="I129" i="48"/>
  <c r="H129" i="48"/>
  <c r="I128" i="49"/>
  <c r="H128" i="49"/>
  <c r="B41" i="48"/>
  <c r="F41" i="48"/>
  <c r="G41" i="48" s="1"/>
  <c r="I42" i="49"/>
  <c r="F41" i="47"/>
  <c r="G41" i="47" s="1"/>
  <c r="B41" i="47"/>
  <c r="F43" i="49"/>
  <c r="H43" i="49" s="1"/>
  <c r="B43" i="49"/>
  <c r="G42" i="13"/>
  <c r="D43" i="13"/>
  <c r="H42" i="13"/>
  <c r="I42" i="44"/>
  <c r="E43" i="44"/>
  <c r="F43" i="44" s="1"/>
  <c r="B43" i="44"/>
  <c r="I45" i="28"/>
  <c r="I49" i="22"/>
  <c r="I53" i="7"/>
  <c r="I45" i="29"/>
  <c r="I45" i="31"/>
  <c r="I48" i="23"/>
  <c r="I46" i="27"/>
  <c r="H42" i="46"/>
  <c r="I42" i="46" s="1"/>
  <c r="B47" i="27"/>
  <c r="E47" i="27"/>
  <c r="F47" i="27" s="1"/>
  <c r="I44" i="30"/>
  <c r="I49" i="25"/>
  <c r="I51" i="8"/>
  <c r="B43" i="39"/>
  <c r="F43" i="39"/>
  <c r="G43" i="39" s="1"/>
  <c r="F52" i="8"/>
  <c r="B52" i="8"/>
  <c r="B46" i="29"/>
  <c r="F46" i="29"/>
  <c r="B43" i="38"/>
  <c r="F43" i="38"/>
  <c r="B48" i="24"/>
  <c r="F48" i="24"/>
  <c r="I50" i="4"/>
  <c r="I42" i="45"/>
  <c r="B46" i="31"/>
  <c r="F46" i="31"/>
  <c r="H53" i="9"/>
  <c r="G53" i="9"/>
  <c r="D54" i="9"/>
  <c r="E54" i="9" s="1"/>
  <c r="D43" i="46"/>
  <c r="E43" i="46" s="1"/>
  <c r="B55" i="10"/>
  <c r="F55" i="10"/>
  <c r="B54" i="7"/>
  <c r="F54" i="7"/>
  <c r="F52" i="6"/>
  <c r="B52" i="6"/>
  <c r="B44" i="37"/>
  <c r="F44" i="37"/>
  <c r="H44" i="37" s="1"/>
  <c r="F49" i="23"/>
  <c r="B49" i="23"/>
  <c r="B46" i="28"/>
  <c r="F46" i="28"/>
  <c r="F42" i="40"/>
  <c r="G42" i="40" s="1"/>
  <c r="B42" i="40"/>
  <c r="F51" i="3"/>
  <c r="B51" i="3"/>
  <c r="B51" i="5"/>
  <c r="F51" i="5"/>
  <c r="F53" i="11"/>
  <c r="B53" i="11"/>
  <c r="F50" i="22"/>
  <c r="B50" i="22"/>
  <c r="B42" i="42"/>
  <c r="F42" i="42"/>
  <c r="G42" i="42" s="1"/>
  <c r="I54" i="10"/>
  <c r="I50" i="3"/>
  <c r="B45" i="30"/>
  <c r="F45" i="30"/>
  <c r="F50" i="25"/>
  <c r="B50" i="25"/>
  <c r="B42" i="41"/>
  <c r="F42" i="41"/>
  <c r="I51" i="6"/>
  <c r="B41" i="43"/>
  <c r="F41" i="43"/>
  <c r="H41" i="43" s="1"/>
  <c r="I52" i="11"/>
  <c r="I47" i="24"/>
  <c r="B51" i="4"/>
  <c r="F51" i="4"/>
  <c r="B43" i="45"/>
  <c r="F43" i="45"/>
  <c r="H43" i="45" s="1"/>
  <c r="B125" i="13"/>
  <c r="F125" i="13"/>
  <c r="I124" i="13"/>
  <c r="H124" i="13"/>
  <c r="D130" i="49" l="1"/>
  <c r="H45" i="54"/>
  <c r="I45" i="54" s="1"/>
  <c r="J125" i="54"/>
  <c r="D46" i="54"/>
  <c r="E46" i="54"/>
  <c r="F48" i="55"/>
  <c r="H48" i="55" s="1"/>
  <c r="B48" i="55"/>
  <c r="J127" i="55"/>
  <c r="G128" i="55"/>
  <c r="D129" i="55"/>
  <c r="G126" i="54"/>
  <c r="D127" i="54"/>
  <c r="E127" i="54"/>
  <c r="H41" i="48"/>
  <c r="I41" i="48" s="1"/>
  <c r="D131" i="48"/>
  <c r="B131" i="48" s="1"/>
  <c r="H41" i="47"/>
  <c r="I41" i="47" s="1"/>
  <c r="I129" i="49"/>
  <c r="H129" i="49"/>
  <c r="E130" i="49"/>
  <c r="F130" i="49" s="1"/>
  <c r="B130" i="49"/>
  <c r="I130" i="48"/>
  <c r="H130" i="48"/>
  <c r="J128" i="49"/>
  <c r="J129" i="48"/>
  <c r="D44" i="49"/>
  <c r="E44" i="49"/>
  <c r="G43" i="49"/>
  <c r="I43" i="49" s="1"/>
  <c r="D42" i="47"/>
  <c r="E42" i="47" s="1"/>
  <c r="D42" i="48"/>
  <c r="E42" i="48" s="1"/>
  <c r="I42" i="13"/>
  <c r="B43" i="13"/>
  <c r="E43" i="13"/>
  <c r="F43" i="13" s="1"/>
  <c r="G43" i="44"/>
  <c r="D44" i="44"/>
  <c r="H43" i="44"/>
  <c r="G41" i="43"/>
  <c r="I41" i="43" s="1"/>
  <c r="H47" i="27"/>
  <c r="D48" i="27"/>
  <c r="G47" i="27"/>
  <c r="G43" i="45"/>
  <c r="I43" i="45" s="1"/>
  <c r="D43" i="41"/>
  <c r="E43" i="41"/>
  <c r="H54" i="7"/>
  <c r="D55" i="7"/>
  <c r="G54" i="7"/>
  <c r="E55" i="7"/>
  <c r="D44" i="38"/>
  <c r="E44" i="38" s="1"/>
  <c r="H42" i="41"/>
  <c r="G45" i="30"/>
  <c r="H45" i="30"/>
  <c r="D46" i="30"/>
  <c r="E46" i="30"/>
  <c r="H42" i="42"/>
  <c r="I42" i="42" s="1"/>
  <c r="H53" i="11"/>
  <c r="D54" i="11"/>
  <c r="G53" i="11"/>
  <c r="E54" i="11"/>
  <c r="H51" i="3"/>
  <c r="D52" i="3"/>
  <c r="G51" i="3"/>
  <c r="E52" i="3"/>
  <c r="D43" i="40"/>
  <c r="E43" i="40"/>
  <c r="H49" i="23"/>
  <c r="D50" i="23"/>
  <c r="E50" i="23" s="1"/>
  <c r="G49" i="23"/>
  <c r="G44" i="37"/>
  <c r="I44" i="37" s="1"/>
  <c r="I53" i="9"/>
  <c r="G43" i="38"/>
  <c r="D44" i="39"/>
  <c r="E44" i="39"/>
  <c r="H50" i="25"/>
  <c r="D51" i="25"/>
  <c r="G50" i="25"/>
  <c r="E51" i="25"/>
  <c r="F43" i="46"/>
  <c r="H43" i="46" s="1"/>
  <c r="B43" i="46"/>
  <c r="D47" i="29"/>
  <c r="E47" i="29" s="1"/>
  <c r="G46" i="29"/>
  <c r="H46" i="29"/>
  <c r="D44" i="45"/>
  <c r="G51" i="4"/>
  <c r="H51" i="4"/>
  <c r="D52" i="4"/>
  <c r="E52" i="4" s="1"/>
  <c r="D42" i="43"/>
  <c r="E42" i="43"/>
  <c r="H51" i="5"/>
  <c r="D52" i="5"/>
  <c r="G51" i="5"/>
  <c r="E52" i="5"/>
  <c r="H42" i="40"/>
  <c r="I42" i="40" s="1"/>
  <c r="G46" i="28"/>
  <c r="H46" i="28"/>
  <c r="D47" i="28"/>
  <c r="E47" i="28"/>
  <c r="G55" i="10"/>
  <c r="H55" i="10"/>
  <c r="D56" i="10"/>
  <c r="E56" i="10" s="1"/>
  <c r="H46" i="31"/>
  <c r="G46" i="31"/>
  <c r="D47" i="31"/>
  <c r="E47" i="31"/>
  <c r="D49" i="24"/>
  <c r="G48" i="24"/>
  <c r="H48" i="24"/>
  <c r="E49" i="24"/>
  <c r="H43" i="39"/>
  <c r="I43" i="39" s="1"/>
  <c r="G42" i="41"/>
  <c r="D43" i="42"/>
  <c r="E43" i="42"/>
  <c r="H50" i="22"/>
  <c r="D51" i="22"/>
  <c r="G50" i="22"/>
  <c r="E51" i="22"/>
  <c r="D45" i="37"/>
  <c r="E45" i="37" s="1"/>
  <c r="H52" i="6"/>
  <c r="D53" i="6"/>
  <c r="E53" i="6" s="1"/>
  <c r="G52" i="6"/>
  <c r="B54" i="9"/>
  <c r="F54" i="9"/>
  <c r="H43" i="38"/>
  <c r="D53" i="8"/>
  <c r="H52" i="8"/>
  <c r="G52" i="8"/>
  <c r="E53" i="8"/>
  <c r="D126" i="13"/>
  <c r="G125" i="13"/>
  <c r="J124" i="13"/>
  <c r="E131" i="48" l="1"/>
  <c r="F131" i="48" s="1"/>
  <c r="G48" i="55"/>
  <c r="I48" i="55" s="1"/>
  <c r="D49" i="55"/>
  <c r="E49" i="55"/>
  <c r="F46" i="54"/>
  <c r="G46" i="54" s="1"/>
  <c r="B46" i="54"/>
  <c r="I126" i="54"/>
  <c r="H126" i="54"/>
  <c r="I128" i="55"/>
  <c r="H128" i="55"/>
  <c r="B127" i="54"/>
  <c r="F127" i="54"/>
  <c r="E129" i="55"/>
  <c r="F129" i="55" s="1"/>
  <c r="B129" i="55"/>
  <c r="G131" i="48"/>
  <c r="D132" i="48"/>
  <c r="G130" i="49"/>
  <c r="D131" i="49"/>
  <c r="J130" i="48"/>
  <c r="J155" i="48" s="1"/>
  <c r="J129" i="49"/>
  <c r="B42" i="47"/>
  <c r="F42" i="47"/>
  <c r="H42" i="47" s="1"/>
  <c r="B42" i="48"/>
  <c r="F42" i="48"/>
  <c r="G42" i="48" s="1"/>
  <c r="F44" i="49"/>
  <c r="H44" i="49" s="1"/>
  <c r="B44" i="49"/>
  <c r="D44" i="13"/>
  <c r="H43" i="13"/>
  <c r="G43" i="13"/>
  <c r="I43" i="44"/>
  <c r="B44" i="44"/>
  <c r="E44" i="44"/>
  <c r="F44" i="44" s="1"/>
  <c r="H44" i="44" s="1"/>
  <c r="I43" i="38"/>
  <c r="I49" i="23"/>
  <c r="I51" i="4"/>
  <c r="I54" i="7"/>
  <c r="I48" i="24"/>
  <c r="B48" i="27"/>
  <c r="I47" i="27"/>
  <c r="I52" i="6"/>
  <c r="I46" i="31"/>
  <c r="I46" i="29"/>
  <c r="E48" i="27"/>
  <c r="F48" i="27" s="1"/>
  <c r="B53" i="6"/>
  <c r="F53" i="6"/>
  <c r="F52" i="5"/>
  <c r="B52" i="5"/>
  <c r="I52" i="8"/>
  <c r="B43" i="42"/>
  <c r="F43" i="42"/>
  <c r="G43" i="42" s="1"/>
  <c r="F56" i="10"/>
  <c r="B56" i="10"/>
  <c r="F52" i="4"/>
  <c r="B52" i="4"/>
  <c r="I42" i="41"/>
  <c r="H54" i="9"/>
  <c r="D55" i="9"/>
  <c r="E55" i="9"/>
  <c r="G54" i="9"/>
  <c r="F44" i="38"/>
  <c r="G44" i="38" s="1"/>
  <c r="B44" i="38"/>
  <c r="B53" i="8"/>
  <c r="F53" i="8"/>
  <c r="F51" i="22"/>
  <c r="B51" i="22"/>
  <c r="F47" i="31"/>
  <c r="B47" i="31"/>
  <c r="I55" i="10"/>
  <c r="F47" i="28"/>
  <c r="B47" i="28"/>
  <c r="B44" i="45"/>
  <c r="D44" i="46"/>
  <c r="E44" i="46" s="1"/>
  <c r="F51" i="25"/>
  <c r="B51" i="25"/>
  <c r="B44" i="39"/>
  <c r="F44" i="39"/>
  <c r="G44" i="39" s="1"/>
  <c r="F52" i="3"/>
  <c r="B52" i="3"/>
  <c r="B54" i="11"/>
  <c r="F54" i="11"/>
  <c r="F46" i="30"/>
  <c r="B46" i="30"/>
  <c r="F43" i="41"/>
  <c r="G43" i="41" s="1"/>
  <c r="B43" i="41"/>
  <c r="F49" i="24"/>
  <c r="B49" i="24"/>
  <c r="F50" i="23"/>
  <c r="B50" i="23"/>
  <c r="B45" i="37"/>
  <c r="F45" i="37"/>
  <c r="H45" i="37" s="1"/>
  <c r="I50" i="22"/>
  <c r="I46" i="28"/>
  <c r="B42" i="43"/>
  <c r="F42" i="43"/>
  <c r="G42" i="43" s="1"/>
  <c r="E44" i="45"/>
  <c r="F44" i="45" s="1"/>
  <c r="F47" i="29"/>
  <c r="B47" i="29"/>
  <c r="G43" i="46"/>
  <c r="I43" i="46" s="1"/>
  <c r="I50" i="25"/>
  <c r="F43" i="40"/>
  <c r="G43" i="40" s="1"/>
  <c r="B43" i="40"/>
  <c r="I51" i="3"/>
  <c r="I53" i="11"/>
  <c r="I45" i="30"/>
  <c r="B55" i="7"/>
  <c r="F55" i="7"/>
  <c r="I125" i="13"/>
  <c r="H125" i="13"/>
  <c r="B126" i="13"/>
  <c r="E126" i="13"/>
  <c r="F126" i="13" s="1"/>
  <c r="H46" i="54" l="1"/>
  <c r="I46" i="54" s="1"/>
  <c r="D47" i="54"/>
  <c r="E47" i="54"/>
  <c r="F49" i="55"/>
  <c r="H49" i="55" s="1"/>
  <c r="B49" i="55"/>
  <c r="G129" i="55"/>
  <c r="D130" i="55"/>
  <c r="D128" i="54"/>
  <c r="G127" i="54"/>
  <c r="J128" i="55"/>
  <c r="J126" i="54"/>
  <c r="G44" i="49"/>
  <c r="I44" i="49" s="1"/>
  <c r="G42" i="47"/>
  <c r="I42" i="47" s="1"/>
  <c r="E131" i="49"/>
  <c r="F131" i="49" s="1"/>
  <c r="B131" i="49"/>
  <c r="I130" i="49"/>
  <c r="H130" i="49"/>
  <c r="E132" i="48"/>
  <c r="F132" i="48" s="1"/>
  <c r="B132" i="48"/>
  <c r="I131" i="48"/>
  <c r="H131" i="48"/>
  <c r="H42" i="48"/>
  <c r="I42" i="48" s="1"/>
  <c r="D43" i="48"/>
  <c r="E43" i="48" s="1"/>
  <c r="D43" i="47"/>
  <c r="E43" i="47" s="1"/>
  <c r="E45" i="49"/>
  <c r="D45" i="49"/>
  <c r="I43" i="13"/>
  <c r="E44" i="13"/>
  <c r="F44" i="13" s="1"/>
  <c r="B44" i="13"/>
  <c r="G44" i="44"/>
  <c r="I44" i="44" s="1"/>
  <c r="D45" i="44"/>
  <c r="I54" i="9"/>
  <c r="H43" i="41"/>
  <c r="I43" i="41" s="1"/>
  <c r="H43" i="42"/>
  <c r="I43" i="42" s="1"/>
  <c r="G48" i="27"/>
  <c r="D49" i="27"/>
  <c r="E49" i="27"/>
  <c r="H48" i="27"/>
  <c r="H44" i="38"/>
  <c r="I44" i="38" s="1"/>
  <c r="H44" i="39"/>
  <c r="I44" i="39" s="1"/>
  <c r="D45" i="45"/>
  <c r="E45" i="45" s="1"/>
  <c r="H44" i="45"/>
  <c r="G44" i="45"/>
  <c r="G51" i="22"/>
  <c r="D52" i="22"/>
  <c r="E52" i="22" s="1"/>
  <c r="H51" i="22"/>
  <c r="D44" i="40"/>
  <c r="E44" i="40"/>
  <c r="D43" i="43"/>
  <c r="E43" i="43" s="1"/>
  <c r="D46" i="37"/>
  <c r="E46" i="37"/>
  <c r="H50" i="23"/>
  <c r="G50" i="23"/>
  <c r="D51" i="23"/>
  <c r="E51" i="23"/>
  <c r="D47" i="30"/>
  <c r="E47" i="30" s="1"/>
  <c r="H46" i="30"/>
  <c r="G46" i="30"/>
  <c r="G52" i="3"/>
  <c r="D53" i="3"/>
  <c r="H52" i="3"/>
  <c r="E53" i="3"/>
  <c r="B44" i="46"/>
  <c r="F44" i="46"/>
  <c r="G44" i="46" s="1"/>
  <c r="G53" i="8"/>
  <c r="H53" i="8"/>
  <c r="D54" i="8"/>
  <c r="E54" i="8"/>
  <c r="D45" i="38"/>
  <c r="E45" i="38" s="1"/>
  <c r="H56" i="10"/>
  <c r="D57" i="10"/>
  <c r="E57" i="10" s="1"/>
  <c r="G56" i="10"/>
  <c r="H53" i="6"/>
  <c r="D54" i="6"/>
  <c r="E54" i="6" s="1"/>
  <c r="G53" i="6"/>
  <c r="G54" i="11"/>
  <c r="H54" i="11"/>
  <c r="D55" i="11"/>
  <c r="E55" i="11"/>
  <c r="D45" i="39"/>
  <c r="E45" i="39" s="1"/>
  <c r="D48" i="31"/>
  <c r="E48" i="31" s="1"/>
  <c r="G47" i="31"/>
  <c r="H47" i="31"/>
  <c r="H52" i="5"/>
  <c r="D53" i="5"/>
  <c r="E53" i="5" s="1"/>
  <c r="G52" i="5"/>
  <c r="H55" i="7"/>
  <c r="G55" i="7"/>
  <c r="D56" i="7"/>
  <c r="E56" i="7"/>
  <c r="H43" i="40"/>
  <c r="I43" i="40" s="1"/>
  <c r="D48" i="29"/>
  <c r="E48" i="29" s="1"/>
  <c r="H47" i="29"/>
  <c r="G47" i="29"/>
  <c r="H42" i="43"/>
  <c r="I42" i="43" s="1"/>
  <c r="G45" i="37"/>
  <c r="I45" i="37" s="1"/>
  <c r="H49" i="24"/>
  <c r="D50" i="24"/>
  <c r="E50" i="24" s="1"/>
  <c r="G49" i="24"/>
  <c r="D44" i="41"/>
  <c r="E44" i="41"/>
  <c r="G51" i="25"/>
  <c r="H51" i="25"/>
  <c r="D52" i="25"/>
  <c r="E52" i="25"/>
  <c r="G47" i="28"/>
  <c r="H47" i="28"/>
  <c r="D48" i="28"/>
  <c r="E48" i="28"/>
  <c r="F55" i="9"/>
  <c r="B55" i="9"/>
  <c r="H52" i="4"/>
  <c r="D53" i="4"/>
  <c r="E53" i="4" s="1"/>
  <c r="G52" i="4"/>
  <c r="D44" i="42"/>
  <c r="E44" i="42"/>
  <c r="J125" i="13"/>
  <c r="D127" i="13"/>
  <c r="G126" i="13"/>
  <c r="G49" i="55" l="1"/>
  <c r="I49" i="55" s="1"/>
  <c r="F47" i="54"/>
  <c r="D48" i="54" s="1"/>
  <c r="D50" i="55"/>
  <c r="E50" i="55"/>
  <c r="B47" i="54"/>
  <c r="G47" i="54"/>
  <c r="H127" i="54"/>
  <c r="I127" i="54"/>
  <c r="E128" i="54"/>
  <c r="F128" i="54" s="1"/>
  <c r="B128" i="54"/>
  <c r="E130" i="55"/>
  <c r="F130" i="55" s="1"/>
  <c r="B130" i="55"/>
  <c r="I129" i="55"/>
  <c r="H129" i="55"/>
  <c r="J130" i="49"/>
  <c r="J155" i="49" s="1"/>
  <c r="G131" i="49"/>
  <c r="D132" i="49"/>
  <c r="B132" i="49" s="1"/>
  <c r="D133" i="48"/>
  <c r="G132" i="48"/>
  <c r="F43" i="47"/>
  <c r="H43" i="47" s="1"/>
  <c r="B43" i="47"/>
  <c r="B45" i="49"/>
  <c r="F45" i="49"/>
  <c r="H45" i="49" s="1"/>
  <c r="F43" i="48"/>
  <c r="B43" i="48"/>
  <c r="G44" i="13"/>
  <c r="D45" i="13"/>
  <c r="H44" i="13"/>
  <c r="E45" i="44"/>
  <c r="F45" i="44" s="1"/>
  <c r="H45" i="44" s="1"/>
  <c r="B45" i="44"/>
  <c r="I50" i="23"/>
  <c r="I51" i="22"/>
  <c r="I48" i="27"/>
  <c r="I47" i="28"/>
  <c r="I51" i="25"/>
  <c r="I52" i="4"/>
  <c r="H44" i="46"/>
  <c r="I44" i="46" s="1"/>
  <c r="F49" i="27"/>
  <c r="B49" i="27"/>
  <c r="I47" i="29"/>
  <c r="I54" i="11"/>
  <c r="I46" i="30"/>
  <c r="B44" i="41"/>
  <c r="F44" i="41"/>
  <c r="G44" i="41" s="1"/>
  <c r="B45" i="38"/>
  <c r="F45" i="38"/>
  <c r="G45" i="38" s="1"/>
  <c r="H55" i="9"/>
  <c r="G55" i="9"/>
  <c r="D56" i="9"/>
  <c r="E56" i="9" s="1"/>
  <c r="B50" i="24"/>
  <c r="F50" i="24"/>
  <c r="B48" i="29"/>
  <c r="F48" i="29"/>
  <c r="B53" i="5"/>
  <c r="F53" i="5"/>
  <c r="I47" i="31"/>
  <c r="B45" i="39"/>
  <c r="F45" i="39"/>
  <c r="H45" i="39" s="1"/>
  <c r="F54" i="6"/>
  <c r="B54" i="6"/>
  <c r="I56" i="10"/>
  <c r="D45" i="46"/>
  <c r="E45" i="46" s="1"/>
  <c r="F52" i="22"/>
  <c r="B52" i="22"/>
  <c r="I44" i="45"/>
  <c r="F48" i="28"/>
  <c r="B48" i="28"/>
  <c r="B57" i="10"/>
  <c r="F57" i="10"/>
  <c r="F47" i="30"/>
  <c r="B47" i="30"/>
  <c r="B43" i="43"/>
  <c r="F43" i="43"/>
  <c r="G43" i="43" s="1"/>
  <c r="B53" i="4"/>
  <c r="F53" i="4"/>
  <c r="I49" i="24"/>
  <c r="I55" i="7"/>
  <c r="I53" i="6"/>
  <c r="B54" i="8"/>
  <c r="F54" i="8"/>
  <c r="I52" i="3"/>
  <c r="F51" i="23"/>
  <c r="B51" i="23"/>
  <c r="B46" i="37"/>
  <c r="F46" i="37"/>
  <c r="G46" i="37" s="1"/>
  <c r="B44" i="40"/>
  <c r="F44" i="40"/>
  <c r="H44" i="40" s="1"/>
  <c r="F52" i="25"/>
  <c r="B52" i="25"/>
  <c r="F56" i="7"/>
  <c r="B56" i="7"/>
  <c r="F44" i="42"/>
  <c r="H44" i="42" s="1"/>
  <c r="B44" i="42"/>
  <c r="F48" i="31"/>
  <c r="B48" i="31"/>
  <c r="F55" i="11"/>
  <c r="B55" i="11"/>
  <c r="I53" i="8"/>
  <c r="F53" i="3"/>
  <c r="B53" i="3"/>
  <c r="F45" i="45"/>
  <c r="H45" i="45" s="1"/>
  <c r="B45" i="45"/>
  <c r="B127" i="13"/>
  <c r="H126" i="13"/>
  <c r="I126" i="13"/>
  <c r="E127" i="13"/>
  <c r="F127" i="13" s="1"/>
  <c r="H47" i="54" l="1"/>
  <c r="E48" i="54"/>
  <c r="F50" i="55"/>
  <c r="D51" i="55" s="1"/>
  <c r="J127" i="54"/>
  <c r="I47" i="54"/>
  <c r="B48" i="54"/>
  <c r="F48" i="54"/>
  <c r="G48" i="54" s="1"/>
  <c r="E51" i="55"/>
  <c r="B50" i="55"/>
  <c r="G130" i="55"/>
  <c r="D131" i="55"/>
  <c r="E131" i="55" s="1"/>
  <c r="D129" i="54"/>
  <c r="E129" i="54" s="1"/>
  <c r="G128" i="54"/>
  <c r="J129" i="55"/>
  <c r="E132" i="49"/>
  <c r="F132" i="49" s="1"/>
  <c r="D133" i="49" s="1"/>
  <c r="B133" i="49" s="1"/>
  <c r="E133" i="48"/>
  <c r="F133" i="48" s="1"/>
  <c r="B133" i="48"/>
  <c r="I132" i="48"/>
  <c r="H132" i="48"/>
  <c r="H131" i="49"/>
  <c r="I131" i="49"/>
  <c r="D44" i="48"/>
  <c r="E44" i="48" s="1"/>
  <c r="I44" i="13"/>
  <c r="G43" i="48"/>
  <c r="H43" i="48"/>
  <c r="G45" i="49"/>
  <c r="I45" i="49" s="1"/>
  <c r="D46" i="49"/>
  <c r="G43" i="47"/>
  <c r="I43" i="47" s="1"/>
  <c r="D44" i="47"/>
  <c r="E44" i="47" s="1"/>
  <c r="E45" i="13"/>
  <c r="F45" i="13" s="1"/>
  <c r="B45" i="13"/>
  <c r="G45" i="39"/>
  <c r="I45" i="39" s="1"/>
  <c r="G44" i="42"/>
  <c r="I44" i="42" s="1"/>
  <c r="G45" i="44"/>
  <c r="I45" i="44" s="1"/>
  <c r="D46" i="44"/>
  <c r="H46" i="37"/>
  <c r="I46" i="37" s="1"/>
  <c r="G45" i="45"/>
  <c r="I45" i="45" s="1"/>
  <c r="H43" i="43"/>
  <c r="I43" i="43" s="1"/>
  <c r="G49" i="27"/>
  <c r="H49" i="27"/>
  <c r="D50" i="27"/>
  <c r="I55" i="9"/>
  <c r="G47" i="30"/>
  <c r="H47" i="30"/>
  <c r="D48" i="30"/>
  <c r="E48" i="30" s="1"/>
  <c r="D49" i="28"/>
  <c r="E49" i="28" s="1"/>
  <c r="G48" i="28"/>
  <c r="H48" i="28"/>
  <c r="D55" i="6"/>
  <c r="E55" i="6" s="1"/>
  <c r="G54" i="6"/>
  <c r="H54" i="6"/>
  <c r="D56" i="11"/>
  <c r="E56" i="11" s="1"/>
  <c r="G55" i="11"/>
  <c r="H55" i="11"/>
  <c r="D57" i="7"/>
  <c r="E57" i="7" s="1"/>
  <c r="G56" i="7"/>
  <c r="H56" i="7"/>
  <c r="D45" i="40"/>
  <c r="E45" i="40"/>
  <c r="G51" i="23"/>
  <c r="H51" i="23"/>
  <c r="D52" i="23"/>
  <c r="E52" i="23" s="1"/>
  <c r="D54" i="4"/>
  <c r="E54" i="4" s="1"/>
  <c r="G53" i="4"/>
  <c r="H53" i="4"/>
  <c r="G57" i="10"/>
  <c r="D58" i="10"/>
  <c r="E58" i="10" s="1"/>
  <c r="H57" i="10"/>
  <c r="D46" i="38"/>
  <c r="E46" i="38"/>
  <c r="D45" i="41"/>
  <c r="E45" i="41"/>
  <c r="H54" i="8"/>
  <c r="D55" i="8"/>
  <c r="G54" i="8"/>
  <c r="E55" i="8"/>
  <c r="F56" i="9"/>
  <c r="B56" i="9"/>
  <c r="G53" i="3"/>
  <c r="D54" i="3"/>
  <c r="H53" i="3"/>
  <c r="E54" i="3"/>
  <c r="D45" i="42"/>
  <c r="E45" i="42" s="1"/>
  <c r="G44" i="40"/>
  <c r="I44" i="40" s="1"/>
  <c r="D47" i="37"/>
  <c r="E47" i="37" s="1"/>
  <c r="D46" i="39"/>
  <c r="E46" i="39"/>
  <c r="D54" i="5"/>
  <c r="E54" i="5" s="1"/>
  <c r="G53" i="5"/>
  <c r="H53" i="5"/>
  <c r="G50" i="24"/>
  <c r="D51" i="24"/>
  <c r="E51" i="24" s="1"/>
  <c r="H50" i="24"/>
  <c r="H44" i="41"/>
  <c r="I44" i="41" s="1"/>
  <c r="B45" i="46"/>
  <c r="F45" i="46"/>
  <c r="H48" i="29"/>
  <c r="G48" i="29"/>
  <c r="D49" i="29"/>
  <c r="E49" i="29" s="1"/>
  <c r="D46" i="45"/>
  <c r="D49" i="31"/>
  <c r="E49" i="31" s="1"/>
  <c r="H48" i="31"/>
  <c r="G48" i="31"/>
  <c r="H52" i="25"/>
  <c r="D53" i="25"/>
  <c r="E53" i="25" s="1"/>
  <c r="G52" i="25"/>
  <c r="D44" i="43"/>
  <c r="E44" i="43" s="1"/>
  <c r="H52" i="22"/>
  <c r="G52" i="22"/>
  <c r="D53" i="22"/>
  <c r="E53" i="22" s="1"/>
  <c r="H45" i="38"/>
  <c r="I45" i="38" s="1"/>
  <c r="J126" i="13"/>
  <c r="G127" i="13"/>
  <c r="D128" i="13"/>
  <c r="E128" i="13" s="1"/>
  <c r="H50" i="55" l="1"/>
  <c r="G50" i="55"/>
  <c r="H48" i="54"/>
  <c r="I50" i="55"/>
  <c r="I48" i="54"/>
  <c r="F51" i="55"/>
  <c r="H51" i="55" s="1"/>
  <c r="B51" i="55"/>
  <c r="D49" i="54"/>
  <c r="E49" i="54"/>
  <c r="H128" i="54"/>
  <c r="I128" i="54"/>
  <c r="F129" i="54"/>
  <c r="B129" i="54"/>
  <c r="G132" i="49"/>
  <c r="B131" i="55"/>
  <c r="F131" i="55"/>
  <c r="I130" i="55"/>
  <c r="H130" i="55"/>
  <c r="I43" i="48"/>
  <c r="D134" i="48"/>
  <c r="G133" i="48"/>
  <c r="E133" i="49"/>
  <c r="F133" i="49" s="1"/>
  <c r="H132" i="49"/>
  <c r="I132" i="49"/>
  <c r="F44" i="47"/>
  <c r="G44" i="47" s="1"/>
  <c r="B44" i="47"/>
  <c r="E46" i="49"/>
  <c r="F46" i="49" s="1"/>
  <c r="B46" i="49"/>
  <c r="B44" i="48"/>
  <c r="F44" i="48"/>
  <c r="G44" i="48" s="1"/>
  <c r="D46" i="13"/>
  <c r="G45" i="13"/>
  <c r="H45" i="13"/>
  <c r="E46" i="44"/>
  <c r="F46" i="44" s="1"/>
  <c r="B46" i="44"/>
  <c r="I47" i="30"/>
  <c r="I48" i="31"/>
  <c r="I52" i="25"/>
  <c r="I51" i="23"/>
  <c r="B50" i="27"/>
  <c r="I53" i="3"/>
  <c r="I49" i="27"/>
  <c r="I50" i="24"/>
  <c r="I54" i="8"/>
  <c r="E50" i="27"/>
  <c r="F50" i="27" s="1"/>
  <c r="F49" i="31"/>
  <c r="B49" i="31"/>
  <c r="D46" i="46"/>
  <c r="D57" i="9"/>
  <c r="E57" i="9" s="1"/>
  <c r="H56" i="9"/>
  <c r="G56" i="9"/>
  <c r="F55" i="8"/>
  <c r="B55" i="8"/>
  <c r="F45" i="41"/>
  <c r="B45" i="41"/>
  <c r="F54" i="4"/>
  <c r="B54" i="4"/>
  <c r="F45" i="40"/>
  <c r="G45" i="40" s="1"/>
  <c r="B45" i="40"/>
  <c r="B57" i="7"/>
  <c r="F57" i="7"/>
  <c r="B49" i="29"/>
  <c r="F49" i="29"/>
  <c r="I52" i="22"/>
  <c r="B46" i="45"/>
  <c r="G45" i="46"/>
  <c r="F46" i="39"/>
  <c r="B46" i="39"/>
  <c r="B54" i="3"/>
  <c r="F54" i="3"/>
  <c r="I57" i="10"/>
  <c r="F56" i="11"/>
  <c r="B56" i="11"/>
  <c r="B55" i="6"/>
  <c r="F55" i="6"/>
  <c r="B49" i="28"/>
  <c r="F49" i="28"/>
  <c r="E46" i="45"/>
  <c r="F46" i="45" s="1"/>
  <c r="I48" i="29"/>
  <c r="B51" i="24"/>
  <c r="F51" i="24"/>
  <c r="B47" i="37"/>
  <c r="F47" i="37"/>
  <c r="H47" i="37" s="1"/>
  <c r="F45" i="42"/>
  <c r="G45" i="42" s="1"/>
  <c r="B45" i="42"/>
  <c r="F46" i="38"/>
  <c r="H46" i="38" s="1"/>
  <c r="B46" i="38"/>
  <c r="I53" i="4"/>
  <c r="I56" i="7"/>
  <c r="B53" i="22"/>
  <c r="F53" i="22"/>
  <c r="F44" i="43"/>
  <c r="B44" i="43"/>
  <c r="B53" i="25"/>
  <c r="F53" i="25"/>
  <c r="H45" i="46"/>
  <c r="F54" i="5"/>
  <c r="B54" i="5"/>
  <c r="B58" i="10"/>
  <c r="F58" i="10"/>
  <c r="B52" i="23"/>
  <c r="F52" i="23"/>
  <c r="I55" i="11"/>
  <c r="I54" i="6"/>
  <c r="I48" i="28"/>
  <c r="B48" i="30"/>
  <c r="F48" i="30"/>
  <c r="F128" i="13"/>
  <c r="B128" i="13"/>
  <c r="H127" i="13"/>
  <c r="I127" i="13"/>
  <c r="G51" i="55" l="1"/>
  <c r="I51" i="55" s="1"/>
  <c r="J130" i="55"/>
  <c r="J155" i="55" s="1"/>
  <c r="J128" i="54"/>
  <c r="F49" i="54"/>
  <c r="G49" i="54" s="1"/>
  <c r="B49" i="54"/>
  <c r="D52" i="55"/>
  <c r="E52" i="55"/>
  <c r="G131" i="55"/>
  <c r="D132" i="55"/>
  <c r="E132" i="55" s="1"/>
  <c r="D130" i="54"/>
  <c r="E130" i="54" s="1"/>
  <c r="G129" i="54"/>
  <c r="H44" i="47"/>
  <c r="I44" i="47" s="1"/>
  <c r="D134" i="49"/>
  <c r="G133" i="49"/>
  <c r="H133" i="48"/>
  <c r="I133" i="48"/>
  <c r="E134" i="48"/>
  <c r="F134" i="48" s="1"/>
  <c r="B134" i="48"/>
  <c r="H44" i="48"/>
  <c r="I44" i="48" s="1"/>
  <c r="D45" i="48"/>
  <c r="E45" i="48" s="1"/>
  <c r="E47" i="49"/>
  <c r="D47" i="49"/>
  <c r="H46" i="49"/>
  <c r="G46" i="49"/>
  <c r="D45" i="47"/>
  <c r="E45" i="47" s="1"/>
  <c r="I45" i="13"/>
  <c r="E46" i="13"/>
  <c r="F46" i="13" s="1"/>
  <c r="B46" i="13"/>
  <c r="H46" i="44"/>
  <c r="D47" i="44"/>
  <c r="G46" i="44"/>
  <c r="G47" i="37"/>
  <c r="I47" i="37" s="1"/>
  <c r="I45" i="46"/>
  <c r="H50" i="27"/>
  <c r="G50" i="27"/>
  <c r="D51" i="27"/>
  <c r="D47" i="45"/>
  <c r="E47" i="45" s="1"/>
  <c r="H46" i="45"/>
  <c r="G46" i="45"/>
  <c r="D49" i="30"/>
  <c r="G48" i="30"/>
  <c r="H48" i="30"/>
  <c r="E49" i="30"/>
  <c r="D54" i="25"/>
  <c r="G53" i="25"/>
  <c r="H53" i="25"/>
  <c r="E54" i="25"/>
  <c r="D45" i="43"/>
  <c r="E45" i="43"/>
  <c r="D50" i="28"/>
  <c r="E50" i="28" s="1"/>
  <c r="G49" i="28"/>
  <c r="H49" i="28"/>
  <c r="H54" i="3"/>
  <c r="D55" i="3"/>
  <c r="E55" i="3" s="1"/>
  <c r="G54" i="3"/>
  <c r="D47" i="39"/>
  <c r="E47" i="39"/>
  <c r="H49" i="29"/>
  <c r="D50" i="29"/>
  <c r="G49" i="29"/>
  <c r="E50" i="29"/>
  <c r="D46" i="41"/>
  <c r="E46" i="41"/>
  <c r="B46" i="46"/>
  <c r="G52" i="23"/>
  <c r="D53" i="23"/>
  <c r="H52" i="23"/>
  <c r="E53" i="23"/>
  <c r="H44" i="43"/>
  <c r="D47" i="38"/>
  <c r="E47" i="38"/>
  <c r="D46" i="42"/>
  <c r="E46" i="42"/>
  <c r="D57" i="11"/>
  <c r="G56" i="11"/>
  <c r="H56" i="11"/>
  <c r="E57" i="11"/>
  <c r="H46" i="39"/>
  <c r="G54" i="4"/>
  <c r="D55" i="4"/>
  <c r="E55" i="4" s="1"/>
  <c r="H54" i="4"/>
  <c r="G45" i="41"/>
  <c r="E46" i="46"/>
  <c r="F46" i="46" s="1"/>
  <c r="D55" i="5"/>
  <c r="E55" i="5" s="1"/>
  <c r="G54" i="5"/>
  <c r="H54" i="5"/>
  <c r="G44" i="43"/>
  <c r="H53" i="22"/>
  <c r="G53" i="22"/>
  <c r="D54" i="22"/>
  <c r="E54" i="22"/>
  <c r="H45" i="42"/>
  <c r="I45" i="42" s="1"/>
  <c r="G51" i="24"/>
  <c r="D52" i="24"/>
  <c r="E52" i="24" s="1"/>
  <c r="H51" i="24"/>
  <c r="G55" i="6"/>
  <c r="H55" i="6"/>
  <c r="D56" i="6"/>
  <c r="E56" i="6" s="1"/>
  <c r="G46" i="39"/>
  <c r="G57" i="7"/>
  <c r="D58" i="7"/>
  <c r="E58" i="7" s="1"/>
  <c r="H57" i="7"/>
  <c r="D46" i="40"/>
  <c r="E46" i="40"/>
  <c r="H45" i="41"/>
  <c r="I56" i="9"/>
  <c r="G58" i="10"/>
  <c r="H58" i="10"/>
  <c r="D59" i="10"/>
  <c r="E59" i="10" s="1"/>
  <c r="G46" i="38"/>
  <c r="I46" i="38" s="1"/>
  <c r="D48" i="37"/>
  <c r="E48" i="37" s="1"/>
  <c r="H45" i="40"/>
  <c r="I45" i="40" s="1"/>
  <c r="H55" i="8"/>
  <c r="G55" i="8"/>
  <c r="D56" i="8"/>
  <c r="E56" i="8"/>
  <c r="F57" i="9"/>
  <c r="B57" i="9"/>
  <c r="H49" i="31"/>
  <c r="G49" i="31"/>
  <c r="D50" i="31"/>
  <c r="E50" i="31" s="1"/>
  <c r="J127" i="13"/>
  <c r="G128" i="13"/>
  <c r="D129" i="13"/>
  <c r="E129" i="13" s="1"/>
  <c r="H49" i="54" l="1"/>
  <c r="I49" i="54" s="1"/>
  <c r="F52" i="55"/>
  <c r="D53" i="55" s="1"/>
  <c r="B52" i="55"/>
  <c r="D50" i="54"/>
  <c r="E50" i="54"/>
  <c r="H129" i="54"/>
  <c r="I129" i="54"/>
  <c r="F130" i="54"/>
  <c r="B130" i="54"/>
  <c r="F132" i="55"/>
  <c r="B132" i="55"/>
  <c r="H131" i="55"/>
  <c r="I131" i="55"/>
  <c r="I46" i="49"/>
  <c r="G134" i="48"/>
  <c r="D135" i="48"/>
  <c r="B135" i="48" s="1"/>
  <c r="I133" i="49"/>
  <c r="H133" i="49"/>
  <c r="E134" i="49"/>
  <c r="F134" i="49" s="1"/>
  <c r="B134" i="49"/>
  <c r="F45" i="48"/>
  <c r="H45" i="48" s="1"/>
  <c r="B45" i="48"/>
  <c r="F45" i="47"/>
  <c r="H45" i="47" s="1"/>
  <c r="B45" i="47"/>
  <c r="F47" i="49"/>
  <c r="D48" i="49" s="1"/>
  <c r="B47" i="49"/>
  <c r="G46" i="13"/>
  <c r="D47" i="13"/>
  <c r="H46" i="13"/>
  <c r="I53" i="25"/>
  <c r="I48" i="30"/>
  <c r="E47" i="44"/>
  <c r="F47" i="44" s="1"/>
  <c r="B47" i="44"/>
  <c r="I46" i="44"/>
  <c r="I55" i="8"/>
  <c r="B51" i="27"/>
  <c r="E51" i="27"/>
  <c r="F51" i="27" s="1"/>
  <c r="I49" i="31"/>
  <c r="I52" i="23"/>
  <c r="I45" i="41"/>
  <c r="I57" i="7"/>
  <c r="I53" i="22"/>
  <c r="I49" i="29"/>
  <c r="I49" i="28"/>
  <c r="I50" i="27"/>
  <c r="D47" i="46"/>
  <c r="E47" i="46" s="1"/>
  <c r="H46" i="46"/>
  <c r="G46" i="46"/>
  <c r="F50" i="31"/>
  <c r="B50" i="31"/>
  <c r="I58" i="10"/>
  <c r="F46" i="41"/>
  <c r="G46" i="41" s="1"/>
  <c r="B46" i="41"/>
  <c r="F45" i="43"/>
  <c r="G45" i="43" s="1"/>
  <c r="B45" i="43"/>
  <c r="F54" i="25"/>
  <c r="B54" i="25"/>
  <c r="F49" i="30"/>
  <c r="B49" i="30"/>
  <c r="B56" i="8"/>
  <c r="F56" i="8"/>
  <c r="I46" i="39"/>
  <c r="B57" i="11"/>
  <c r="F57" i="11"/>
  <c r="B47" i="38"/>
  <c r="F47" i="38"/>
  <c r="B53" i="23"/>
  <c r="F53" i="23"/>
  <c r="B55" i="3"/>
  <c r="F55" i="3"/>
  <c r="F47" i="45"/>
  <c r="H47" i="45" s="1"/>
  <c r="B47" i="45"/>
  <c r="F59" i="10"/>
  <c r="B59" i="10"/>
  <c r="B58" i="7"/>
  <c r="F58" i="7"/>
  <c r="F56" i="6"/>
  <c r="B56" i="6"/>
  <c r="I51" i="24"/>
  <c r="F55" i="5"/>
  <c r="B55" i="5"/>
  <c r="I54" i="4"/>
  <c r="I44" i="43"/>
  <c r="F47" i="39"/>
  <c r="H47" i="39" s="1"/>
  <c r="B47" i="39"/>
  <c r="I54" i="3"/>
  <c r="F50" i="28"/>
  <c r="B50" i="28"/>
  <c r="G57" i="9"/>
  <c r="H57" i="9"/>
  <c r="D58" i="9"/>
  <c r="E58" i="9" s="1"/>
  <c r="F48" i="37"/>
  <c r="G48" i="37" s="1"/>
  <c r="B48" i="37"/>
  <c r="B46" i="40"/>
  <c r="F46" i="40"/>
  <c r="I55" i="6"/>
  <c r="B52" i="24"/>
  <c r="F52" i="24"/>
  <c r="B54" i="22"/>
  <c r="F54" i="22"/>
  <c r="B55" i="4"/>
  <c r="F55" i="4"/>
  <c r="I56" i="11"/>
  <c r="B46" i="42"/>
  <c r="F46" i="42"/>
  <c r="H46" i="42" s="1"/>
  <c r="F50" i="29"/>
  <c r="B50" i="29"/>
  <c r="I46" i="45"/>
  <c r="F129" i="13"/>
  <c r="B129" i="13"/>
  <c r="H128" i="13"/>
  <c r="I128" i="13"/>
  <c r="H52" i="55" l="1"/>
  <c r="G52" i="55"/>
  <c r="I52" i="55"/>
  <c r="J129" i="54"/>
  <c r="B50" i="54"/>
  <c r="F50" i="54"/>
  <c r="D51" i="54" s="1"/>
  <c r="E53" i="55"/>
  <c r="F53" i="55" s="1"/>
  <c r="B53" i="55"/>
  <c r="G132" i="55"/>
  <c r="D133" i="55"/>
  <c r="E133" i="55" s="1"/>
  <c r="G130" i="54"/>
  <c r="D131" i="54"/>
  <c r="E131" i="54" s="1"/>
  <c r="G45" i="48"/>
  <c r="I45" i="48" s="1"/>
  <c r="E135" i="48"/>
  <c r="F135" i="48" s="1"/>
  <c r="D136" i="48" s="1"/>
  <c r="G45" i="47"/>
  <c r="I45" i="47" s="1"/>
  <c r="H47" i="49"/>
  <c r="I46" i="13"/>
  <c r="G47" i="49"/>
  <c r="D135" i="49"/>
  <c r="B135" i="49" s="1"/>
  <c r="G134" i="49"/>
  <c r="I134" i="48"/>
  <c r="H134" i="48"/>
  <c r="E48" i="49"/>
  <c r="F48" i="49" s="1"/>
  <c r="D49" i="49" s="1"/>
  <c r="B48" i="49"/>
  <c r="D46" i="47"/>
  <c r="E46" i="47" s="1"/>
  <c r="D46" i="48"/>
  <c r="E46" i="48" s="1"/>
  <c r="E47" i="13"/>
  <c r="F47" i="13" s="1"/>
  <c r="H47" i="13" s="1"/>
  <c r="B47" i="13"/>
  <c r="H47" i="44"/>
  <c r="G47" i="44"/>
  <c r="D48" i="44"/>
  <c r="D52" i="27"/>
  <c r="G51" i="27"/>
  <c r="E52" i="27"/>
  <c r="H51" i="27"/>
  <c r="H46" i="41"/>
  <c r="I46" i="41" s="1"/>
  <c r="H55" i="4"/>
  <c r="G55" i="4"/>
  <c r="D56" i="4"/>
  <c r="E56" i="4" s="1"/>
  <c r="H52" i="24"/>
  <c r="G52" i="24"/>
  <c r="D53" i="24"/>
  <c r="E53" i="24" s="1"/>
  <c r="D47" i="40"/>
  <c r="E47" i="40"/>
  <c r="D48" i="38"/>
  <c r="E48" i="38" s="1"/>
  <c r="D47" i="42"/>
  <c r="E47" i="42"/>
  <c r="G46" i="40"/>
  <c r="D48" i="45"/>
  <c r="E48" i="45" s="1"/>
  <c r="D54" i="23"/>
  <c r="E54" i="23" s="1"/>
  <c r="G53" i="23"/>
  <c r="H53" i="23"/>
  <c r="H47" i="38"/>
  <c r="D50" i="30"/>
  <c r="E50" i="30" s="1"/>
  <c r="G49" i="30"/>
  <c r="H49" i="30"/>
  <c r="I46" i="46"/>
  <c r="G50" i="29"/>
  <c r="H50" i="29"/>
  <c r="D51" i="29"/>
  <c r="E51" i="29"/>
  <c r="G54" i="22"/>
  <c r="H54" i="22"/>
  <c r="D55" i="22"/>
  <c r="E55" i="22"/>
  <c r="D49" i="37"/>
  <c r="E49" i="37"/>
  <c r="F58" i="9"/>
  <c r="B58" i="9"/>
  <c r="G50" i="28"/>
  <c r="D51" i="28"/>
  <c r="H50" i="28"/>
  <c r="E51" i="28"/>
  <c r="D48" i="39"/>
  <c r="E48" i="39"/>
  <c r="H56" i="6"/>
  <c r="G56" i="6"/>
  <c r="D57" i="6"/>
  <c r="E57" i="6"/>
  <c r="D60" i="10"/>
  <c r="E60" i="10" s="1"/>
  <c r="G59" i="10"/>
  <c r="H59" i="10"/>
  <c r="G47" i="45"/>
  <c r="I47" i="45" s="1"/>
  <c r="D57" i="8"/>
  <c r="E57" i="8" s="1"/>
  <c r="G56" i="8"/>
  <c r="H56" i="8"/>
  <c r="D46" i="43"/>
  <c r="E46" i="43" s="1"/>
  <c r="G46" i="42"/>
  <c r="I46" i="42" s="1"/>
  <c r="H46" i="40"/>
  <c r="H48" i="37"/>
  <c r="I48" i="37" s="1"/>
  <c r="I57" i="9"/>
  <c r="G47" i="39"/>
  <c r="I47" i="39" s="1"/>
  <c r="D56" i="5"/>
  <c r="E56" i="5" s="1"/>
  <c r="G55" i="5"/>
  <c r="H55" i="5"/>
  <c r="D59" i="7"/>
  <c r="E59" i="7" s="1"/>
  <c r="G58" i="7"/>
  <c r="H58" i="7"/>
  <c r="G55" i="3"/>
  <c r="H55" i="3"/>
  <c r="D56" i="3"/>
  <c r="E56" i="3" s="1"/>
  <c r="G47" i="38"/>
  <c r="D58" i="11"/>
  <c r="E58" i="11" s="1"/>
  <c r="G57" i="11"/>
  <c r="H57" i="11"/>
  <c r="H54" i="25"/>
  <c r="D55" i="25"/>
  <c r="G54" i="25"/>
  <c r="E55" i="25"/>
  <c r="H45" i="43"/>
  <c r="I45" i="43" s="1"/>
  <c r="D47" i="41"/>
  <c r="E47" i="41" s="1"/>
  <c r="D51" i="31"/>
  <c r="E51" i="31" s="1"/>
  <c r="G50" i="31"/>
  <c r="H50" i="31"/>
  <c r="F47" i="46"/>
  <c r="H47" i="46" s="1"/>
  <c r="B47" i="46"/>
  <c r="J128" i="13"/>
  <c r="G129" i="13"/>
  <c r="D130" i="13"/>
  <c r="E130" i="13" s="1"/>
  <c r="H50" i="54" l="1"/>
  <c r="G50" i="54"/>
  <c r="D54" i="55"/>
  <c r="E54" i="55"/>
  <c r="H53" i="55"/>
  <c r="G53" i="55"/>
  <c r="E51" i="54"/>
  <c r="F51" i="54" s="1"/>
  <c r="D52" i="54" s="1"/>
  <c r="B51" i="54"/>
  <c r="B131" i="54"/>
  <c r="F131" i="54"/>
  <c r="H130" i="54"/>
  <c r="I130" i="54"/>
  <c r="B133" i="55"/>
  <c r="F133" i="55"/>
  <c r="I132" i="55"/>
  <c r="H132" i="55"/>
  <c r="G135" i="48"/>
  <c r="H135" i="48" s="1"/>
  <c r="I47" i="49"/>
  <c r="E135" i="49"/>
  <c r="F135" i="49" s="1"/>
  <c r="D136" i="49" s="1"/>
  <c r="B136" i="49" s="1"/>
  <c r="E136" i="48"/>
  <c r="F136" i="48" s="1"/>
  <c r="B136" i="48"/>
  <c r="I134" i="49"/>
  <c r="H134" i="49"/>
  <c r="I135" i="48"/>
  <c r="F46" i="47"/>
  <c r="G46" i="47" s="1"/>
  <c r="B46" i="47"/>
  <c r="E49" i="49"/>
  <c r="F49" i="49" s="1"/>
  <c r="D50" i="49" s="1"/>
  <c r="B49" i="49"/>
  <c r="H48" i="49"/>
  <c r="B46" i="48"/>
  <c r="F46" i="48"/>
  <c r="G48" i="49"/>
  <c r="G47" i="13"/>
  <c r="I47" i="13" s="1"/>
  <c r="D48" i="13"/>
  <c r="I47" i="44"/>
  <c r="E48" i="44"/>
  <c r="F48" i="44" s="1"/>
  <c r="B48" i="44"/>
  <c r="I49" i="30"/>
  <c r="I51" i="27"/>
  <c r="I54" i="22"/>
  <c r="I50" i="29"/>
  <c r="I59" i="10"/>
  <c r="I50" i="31"/>
  <c r="I58" i="7"/>
  <c r="I46" i="40"/>
  <c r="B52" i="27"/>
  <c r="F52" i="27"/>
  <c r="G47" i="46"/>
  <c r="I47" i="46" s="1"/>
  <c r="I57" i="11"/>
  <c r="I56" i="8"/>
  <c r="F51" i="28"/>
  <c r="B51" i="28"/>
  <c r="F47" i="42"/>
  <c r="G47" i="42" s="1"/>
  <c r="B47" i="42"/>
  <c r="B53" i="24"/>
  <c r="F53" i="24"/>
  <c r="B56" i="4"/>
  <c r="F56" i="4"/>
  <c r="B47" i="41"/>
  <c r="F47" i="41"/>
  <c r="H47" i="41" s="1"/>
  <c r="B55" i="25"/>
  <c r="F55" i="25"/>
  <c r="F56" i="3"/>
  <c r="B56" i="3"/>
  <c r="F57" i="6"/>
  <c r="B57" i="6"/>
  <c r="B48" i="39"/>
  <c r="F48" i="39"/>
  <c r="H48" i="39" s="1"/>
  <c r="F49" i="37"/>
  <c r="H49" i="37" s="1"/>
  <c r="B49" i="37"/>
  <c r="I53" i="23"/>
  <c r="F48" i="45"/>
  <c r="G48" i="45" s="1"/>
  <c r="B48" i="45"/>
  <c r="I54" i="25"/>
  <c r="F58" i="11"/>
  <c r="B58" i="11"/>
  <c r="I55" i="3"/>
  <c r="F46" i="43"/>
  <c r="G46" i="43" s="1"/>
  <c r="B46" i="43"/>
  <c r="B57" i="8"/>
  <c r="F57" i="8"/>
  <c r="B50" i="30"/>
  <c r="F50" i="30"/>
  <c r="F48" i="38"/>
  <c r="H48" i="38" s="1"/>
  <c r="B48" i="38"/>
  <c r="F47" i="40"/>
  <c r="G47" i="40" s="1"/>
  <c r="B47" i="40"/>
  <c r="I52" i="24"/>
  <c r="I55" i="4"/>
  <c r="D48" i="46"/>
  <c r="E48" i="46" s="1"/>
  <c r="B51" i="31"/>
  <c r="F51" i="31"/>
  <c r="B59" i="7"/>
  <c r="F59" i="7"/>
  <c r="B56" i="5"/>
  <c r="F56" i="5"/>
  <c r="B60" i="10"/>
  <c r="F60" i="10"/>
  <c r="I56" i="6"/>
  <c r="I50" i="28"/>
  <c r="G58" i="9"/>
  <c r="H58" i="9"/>
  <c r="D59" i="9"/>
  <c r="E59" i="9" s="1"/>
  <c r="B55" i="22"/>
  <c r="F55" i="22"/>
  <c r="B51" i="29"/>
  <c r="F51" i="29"/>
  <c r="I47" i="38"/>
  <c r="F54" i="23"/>
  <c r="B54" i="23"/>
  <c r="B130" i="13"/>
  <c r="F130" i="13"/>
  <c r="H129" i="13"/>
  <c r="I129" i="13"/>
  <c r="I50" i="54" l="1"/>
  <c r="J130" i="54"/>
  <c r="J155" i="54" s="1"/>
  <c r="H46" i="47"/>
  <c r="I46" i="47" s="1"/>
  <c r="G51" i="54"/>
  <c r="E52" i="54"/>
  <c r="B52" i="54"/>
  <c r="F52" i="54"/>
  <c r="D53" i="54" s="1"/>
  <c r="I53" i="55"/>
  <c r="H51" i="54"/>
  <c r="F54" i="55"/>
  <c r="D55" i="55" s="1"/>
  <c r="B54" i="55"/>
  <c r="D134" i="55"/>
  <c r="E134" i="55" s="1"/>
  <c r="G133" i="55"/>
  <c r="D132" i="54"/>
  <c r="E132" i="54" s="1"/>
  <c r="G131" i="54"/>
  <c r="G135" i="49"/>
  <c r="H135" i="49" s="1"/>
  <c r="E136" i="49"/>
  <c r="F136" i="49" s="1"/>
  <c r="G136" i="48"/>
  <c r="D137" i="48"/>
  <c r="B137" i="48" s="1"/>
  <c r="E50" i="49"/>
  <c r="F50" i="49" s="1"/>
  <c r="H50" i="49" s="1"/>
  <c r="B50" i="49"/>
  <c r="H49" i="49"/>
  <c r="H46" i="48"/>
  <c r="D47" i="48"/>
  <c r="E47" i="48" s="1"/>
  <c r="I48" i="49"/>
  <c r="G49" i="49"/>
  <c r="G46" i="48"/>
  <c r="D47" i="47"/>
  <c r="E47" i="47" s="1"/>
  <c r="E48" i="13"/>
  <c r="F48" i="13" s="1"/>
  <c r="H48" i="13" s="1"/>
  <c r="B48" i="13"/>
  <c r="G48" i="44"/>
  <c r="D49" i="44"/>
  <c r="H48" i="44"/>
  <c r="I58" i="9"/>
  <c r="H47" i="40"/>
  <c r="I47" i="40" s="1"/>
  <c r="G48" i="39"/>
  <c r="I48" i="39" s="1"/>
  <c r="G47" i="41"/>
  <c r="I47" i="41" s="1"/>
  <c r="D53" i="27"/>
  <c r="E53" i="27" s="1"/>
  <c r="H52" i="27"/>
  <c r="G52" i="27"/>
  <c r="D47" i="43"/>
  <c r="E47" i="43"/>
  <c r="D50" i="37"/>
  <c r="E50" i="37"/>
  <c r="H55" i="25"/>
  <c r="G55" i="25"/>
  <c r="D56" i="25"/>
  <c r="E56" i="25"/>
  <c r="H53" i="24"/>
  <c r="D54" i="24"/>
  <c r="G53" i="24"/>
  <c r="E54" i="24"/>
  <c r="H54" i="23"/>
  <c r="D55" i="23"/>
  <c r="G54" i="23"/>
  <c r="E55" i="23"/>
  <c r="H60" i="10"/>
  <c r="G60" i="10"/>
  <c r="D61" i="10"/>
  <c r="E61" i="10" s="1"/>
  <c r="H59" i="7"/>
  <c r="D60" i="7"/>
  <c r="E60" i="7" s="1"/>
  <c r="G59" i="7"/>
  <c r="G50" i="30"/>
  <c r="H50" i="30"/>
  <c r="D51" i="30"/>
  <c r="E51" i="30"/>
  <c r="D48" i="42"/>
  <c r="E48" i="42"/>
  <c r="G55" i="22"/>
  <c r="H55" i="22"/>
  <c r="D56" i="22"/>
  <c r="E56" i="22"/>
  <c r="F48" i="46"/>
  <c r="B48" i="46"/>
  <c r="D49" i="38"/>
  <c r="E49" i="38" s="1"/>
  <c r="D49" i="45"/>
  <c r="D49" i="39"/>
  <c r="E49" i="39"/>
  <c r="G56" i="4"/>
  <c r="H56" i="4"/>
  <c r="D57" i="4"/>
  <c r="E57" i="4"/>
  <c r="H51" i="29"/>
  <c r="D52" i="29"/>
  <c r="G51" i="29"/>
  <c r="E52" i="29"/>
  <c r="F59" i="9"/>
  <c r="B59" i="9"/>
  <c r="H56" i="5"/>
  <c r="D57" i="5"/>
  <c r="E57" i="5" s="1"/>
  <c r="G56" i="5"/>
  <c r="H51" i="31"/>
  <c r="D52" i="31"/>
  <c r="G51" i="31"/>
  <c r="E52" i="31"/>
  <c r="D48" i="40"/>
  <c r="E48" i="40" s="1"/>
  <c r="G48" i="38"/>
  <c r="I48" i="38" s="1"/>
  <c r="G57" i="8"/>
  <c r="D58" i="8"/>
  <c r="E58" i="8" s="1"/>
  <c r="H57" i="8"/>
  <c r="H46" i="43"/>
  <c r="I46" i="43" s="1"/>
  <c r="G58" i="11"/>
  <c r="H58" i="11"/>
  <c r="D59" i="11"/>
  <c r="E59" i="11" s="1"/>
  <c r="H48" i="45"/>
  <c r="I48" i="45" s="1"/>
  <c r="G49" i="37"/>
  <c r="I49" i="37" s="1"/>
  <c r="H57" i="6"/>
  <c r="D58" i="6"/>
  <c r="E58" i="6" s="1"/>
  <c r="G57" i="6"/>
  <c r="H56" i="3"/>
  <c r="G56" i="3"/>
  <c r="D57" i="3"/>
  <c r="E57" i="3" s="1"/>
  <c r="D48" i="41"/>
  <c r="E48" i="41"/>
  <c r="H47" i="42"/>
  <c r="I47" i="42" s="1"/>
  <c r="H51" i="28"/>
  <c r="D52" i="28"/>
  <c r="G51" i="28"/>
  <c r="E52" i="28"/>
  <c r="J129" i="13"/>
  <c r="G130" i="13"/>
  <c r="D131" i="13"/>
  <c r="I51" i="54" l="1"/>
  <c r="H54" i="55"/>
  <c r="G54" i="55"/>
  <c r="H52" i="54"/>
  <c r="G52" i="54"/>
  <c r="I52" i="54" s="1"/>
  <c r="E53" i="54"/>
  <c r="F53" i="54" s="1"/>
  <c r="D54" i="54" s="1"/>
  <c r="B53" i="54"/>
  <c r="E55" i="55"/>
  <c r="F55" i="55" s="1"/>
  <c r="D56" i="55" s="1"/>
  <c r="B55" i="55"/>
  <c r="I135" i="49"/>
  <c r="B132" i="54"/>
  <c r="F132" i="54"/>
  <c r="I133" i="55"/>
  <c r="H133" i="55"/>
  <c r="H131" i="54"/>
  <c r="I131" i="54"/>
  <c r="F134" i="55"/>
  <c r="B134" i="55"/>
  <c r="I46" i="48"/>
  <c r="E137" i="48"/>
  <c r="F137" i="48" s="1"/>
  <c r="D138" i="48" s="1"/>
  <c r="G50" i="49"/>
  <c r="I50" i="49" s="1"/>
  <c r="I136" i="48"/>
  <c r="H136" i="48"/>
  <c r="G136" i="49"/>
  <c r="D137" i="49"/>
  <c r="B137" i="49" s="1"/>
  <c r="F47" i="48"/>
  <c r="H47" i="48" s="1"/>
  <c r="B47" i="48"/>
  <c r="B47" i="47"/>
  <c r="F47" i="47"/>
  <c r="H47" i="47" s="1"/>
  <c r="I49" i="49"/>
  <c r="E51" i="49"/>
  <c r="D51" i="49"/>
  <c r="G48" i="13"/>
  <c r="I48" i="13" s="1"/>
  <c r="D49" i="13"/>
  <c r="I48" i="44"/>
  <c r="E49" i="44"/>
  <c r="F49" i="44" s="1"/>
  <c r="B49" i="44"/>
  <c r="I56" i="4"/>
  <c r="I52" i="27"/>
  <c r="I59" i="7"/>
  <c r="F53" i="27"/>
  <c r="B53" i="27"/>
  <c r="I55" i="22"/>
  <c r="I50" i="30"/>
  <c r="F57" i="3"/>
  <c r="B57" i="3"/>
  <c r="F58" i="8"/>
  <c r="B58" i="8"/>
  <c r="F48" i="40"/>
  <c r="G48" i="40" s="1"/>
  <c r="B48" i="40"/>
  <c r="I51" i="31"/>
  <c r="B51" i="30"/>
  <c r="F51" i="30"/>
  <c r="F47" i="43"/>
  <c r="B47" i="43"/>
  <c r="B58" i="6"/>
  <c r="F58" i="6"/>
  <c r="B57" i="4"/>
  <c r="F57" i="4"/>
  <c r="F49" i="39"/>
  <c r="B49" i="39"/>
  <c r="B49" i="38"/>
  <c r="F49" i="38"/>
  <c r="H49" i="38" s="1"/>
  <c r="D49" i="46"/>
  <c r="B56" i="22"/>
  <c r="F56" i="22"/>
  <c r="F48" i="42"/>
  <c r="B48" i="42"/>
  <c r="F60" i="7"/>
  <c r="B60" i="7"/>
  <c r="B61" i="10"/>
  <c r="F61" i="10"/>
  <c r="B56" i="25"/>
  <c r="F56" i="25"/>
  <c r="F52" i="28"/>
  <c r="B52" i="28"/>
  <c r="B48" i="41"/>
  <c r="F48" i="41"/>
  <c r="H48" i="41" s="1"/>
  <c r="I56" i="3"/>
  <c r="I57" i="6"/>
  <c r="B59" i="11"/>
  <c r="F59" i="11"/>
  <c r="F52" i="29"/>
  <c r="B52" i="29"/>
  <c r="B49" i="45"/>
  <c r="G48" i="46"/>
  <c r="B55" i="23"/>
  <c r="F55" i="23"/>
  <c r="F54" i="24"/>
  <c r="B54" i="24"/>
  <c r="F50" i="37"/>
  <c r="H50" i="37" s="1"/>
  <c r="B50" i="37"/>
  <c r="I51" i="28"/>
  <c r="I58" i="11"/>
  <c r="I57" i="8"/>
  <c r="F52" i="31"/>
  <c r="B52" i="31"/>
  <c r="F57" i="5"/>
  <c r="B57" i="5"/>
  <c r="D60" i="9"/>
  <c r="E60" i="9" s="1"/>
  <c r="G59" i="9"/>
  <c r="H59" i="9"/>
  <c r="I51" i="29"/>
  <c r="E49" i="45"/>
  <c r="F49" i="45" s="1"/>
  <c r="H48" i="46"/>
  <c r="I60" i="10"/>
  <c r="I54" i="23"/>
  <c r="I53" i="24"/>
  <c r="I55" i="25"/>
  <c r="H130" i="13"/>
  <c r="I130" i="13"/>
  <c r="B131" i="13"/>
  <c r="E131" i="13"/>
  <c r="F131" i="13" s="1"/>
  <c r="G53" i="54" l="1"/>
  <c r="I54" i="55"/>
  <c r="H53" i="54"/>
  <c r="I53" i="54" s="1"/>
  <c r="E56" i="55"/>
  <c r="F56" i="55" s="1"/>
  <c r="B56" i="55"/>
  <c r="E54" i="54"/>
  <c r="F54" i="54" s="1"/>
  <c r="B54" i="54"/>
  <c r="H55" i="55"/>
  <c r="G55" i="55"/>
  <c r="G134" i="55"/>
  <c r="D135" i="55"/>
  <c r="B135" i="55" s="1"/>
  <c r="D133" i="54"/>
  <c r="G132" i="54"/>
  <c r="G137" i="48"/>
  <c r="H137" i="48" s="1"/>
  <c r="G47" i="47"/>
  <c r="I47" i="47" s="1"/>
  <c r="G47" i="48"/>
  <c r="I47" i="48" s="1"/>
  <c r="E137" i="49"/>
  <c r="F137" i="49" s="1"/>
  <c r="E138" i="48"/>
  <c r="F138" i="48" s="1"/>
  <c r="B138" i="48"/>
  <c r="I136" i="49"/>
  <c r="H136" i="49"/>
  <c r="B51" i="49"/>
  <c r="F51" i="49"/>
  <c r="G51" i="49" s="1"/>
  <c r="D48" i="47"/>
  <c r="E48" i="47" s="1"/>
  <c r="D48" i="48"/>
  <c r="E48" i="48" s="1"/>
  <c r="E49" i="13"/>
  <c r="F49" i="13" s="1"/>
  <c r="B49" i="13"/>
  <c r="H49" i="44"/>
  <c r="D50" i="44"/>
  <c r="G49" i="44"/>
  <c r="G49" i="38"/>
  <c r="I49" i="38" s="1"/>
  <c r="H48" i="40"/>
  <c r="I48" i="40" s="1"/>
  <c r="G50" i="37"/>
  <c r="I50" i="37" s="1"/>
  <c r="I59" i="9"/>
  <c r="I48" i="46"/>
  <c r="G53" i="27"/>
  <c r="H53" i="27"/>
  <c r="D54" i="27"/>
  <c r="D50" i="45"/>
  <c r="E50" i="45" s="1"/>
  <c r="H49" i="45"/>
  <c r="G49" i="45"/>
  <c r="F60" i="9"/>
  <c r="B60" i="9"/>
  <c r="D53" i="31"/>
  <c r="E53" i="31" s="1"/>
  <c r="G52" i="31"/>
  <c r="H52" i="31"/>
  <c r="H52" i="29"/>
  <c r="G52" i="29"/>
  <c r="D53" i="29"/>
  <c r="E53" i="29"/>
  <c r="H60" i="7"/>
  <c r="D61" i="7"/>
  <c r="E61" i="7" s="1"/>
  <c r="G60" i="7"/>
  <c r="D49" i="42"/>
  <c r="E49" i="42" s="1"/>
  <c r="B49" i="46"/>
  <c r="D50" i="39"/>
  <c r="E50" i="39"/>
  <c r="D48" i="43"/>
  <c r="E48" i="43"/>
  <c r="G54" i="24"/>
  <c r="D55" i="24"/>
  <c r="H54" i="24"/>
  <c r="E55" i="24"/>
  <c r="H59" i="11"/>
  <c r="D60" i="11"/>
  <c r="E60" i="11" s="1"/>
  <c r="G59" i="11"/>
  <c r="H61" i="10"/>
  <c r="D62" i="10"/>
  <c r="E62" i="10" s="1"/>
  <c r="G61" i="10"/>
  <c r="H56" i="22"/>
  <c r="D57" i="22"/>
  <c r="E57" i="22" s="1"/>
  <c r="G56" i="22"/>
  <c r="H49" i="39"/>
  <c r="G57" i="4"/>
  <c r="H57" i="4"/>
  <c r="D58" i="4"/>
  <c r="E58" i="4" s="1"/>
  <c r="H47" i="43"/>
  <c r="G51" i="30"/>
  <c r="D52" i="30"/>
  <c r="H51" i="30"/>
  <c r="E52" i="30"/>
  <c r="D59" i="8"/>
  <c r="E59" i="8" s="1"/>
  <c r="G58" i="8"/>
  <c r="H58" i="8"/>
  <c r="H57" i="5"/>
  <c r="D58" i="5"/>
  <c r="E58" i="5" s="1"/>
  <c r="G57" i="5"/>
  <c r="G55" i="23"/>
  <c r="H55" i="23"/>
  <c r="D56" i="23"/>
  <c r="E56" i="23"/>
  <c r="D49" i="41"/>
  <c r="E49" i="41"/>
  <c r="D53" i="28"/>
  <c r="G52" i="28"/>
  <c r="H52" i="28"/>
  <c r="E53" i="28"/>
  <c r="G48" i="42"/>
  <c r="G49" i="39"/>
  <c r="D51" i="37"/>
  <c r="E51" i="37" s="1"/>
  <c r="G48" i="41"/>
  <c r="I48" i="41" s="1"/>
  <c r="D57" i="25"/>
  <c r="E57" i="25" s="1"/>
  <c r="G56" i="25"/>
  <c r="H56" i="25"/>
  <c r="H48" i="42"/>
  <c r="E49" i="46"/>
  <c r="F49" i="46" s="1"/>
  <c r="D50" i="38"/>
  <c r="E50" i="38"/>
  <c r="D59" i="6"/>
  <c r="E59" i="6" s="1"/>
  <c r="H58" i="6"/>
  <c r="G58" i="6"/>
  <c r="G47" i="43"/>
  <c r="D49" i="40"/>
  <c r="E49" i="40"/>
  <c r="G57" i="3"/>
  <c r="H57" i="3"/>
  <c r="D58" i="3"/>
  <c r="E58" i="3" s="1"/>
  <c r="J130" i="13"/>
  <c r="J155" i="13" s="1"/>
  <c r="G131" i="13"/>
  <c r="D132" i="13"/>
  <c r="D57" i="55" l="1"/>
  <c r="H56" i="55"/>
  <c r="I137" i="48"/>
  <c r="E135" i="55"/>
  <c r="F135" i="55" s="1"/>
  <c r="G135" i="55" s="1"/>
  <c r="G56" i="55"/>
  <c r="I56" i="55" s="1"/>
  <c r="D55" i="54"/>
  <c r="E55" i="54"/>
  <c r="G54" i="54"/>
  <c r="H54" i="54"/>
  <c r="I55" i="55"/>
  <c r="E57" i="55"/>
  <c r="F57" i="55" s="1"/>
  <c r="D58" i="55" s="1"/>
  <c r="B57" i="55"/>
  <c r="H132" i="54"/>
  <c r="I132" i="54"/>
  <c r="E133" i="54"/>
  <c r="F133" i="54"/>
  <c r="B133" i="54"/>
  <c r="I134" i="55"/>
  <c r="H134" i="55"/>
  <c r="D139" i="48"/>
  <c r="G138" i="48"/>
  <c r="G137" i="49"/>
  <c r="D138" i="49"/>
  <c r="E138" i="49" s="1"/>
  <c r="B48" i="47"/>
  <c r="F48" i="47"/>
  <c r="G48" i="47" s="1"/>
  <c r="H51" i="49"/>
  <c r="I51" i="49" s="1"/>
  <c r="E52" i="49"/>
  <c r="D52" i="49"/>
  <c r="F48" i="48"/>
  <c r="G48" i="48" s="1"/>
  <c r="B48" i="48"/>
  <c r="G49" i="13"/>
  <c r="D50" i="13"/>
  <c r="H49" i="13"/>
  <c r="I53" i="27"/>
  <c r="I49" i="44"/>
  <c r="E50" i="44"/>
  <c r="F50" i="44" s="1"/>
  <c r="B50" i="44"/>
  <c r="I57" i="4"/>
  <c r="I48" i="42"/>
  <c r="I61" i="10"/>
  <c r="I52" i="29"/>
  <c r="I57" i="3"/>
  <c r="I56" i="25"/>
  <c r="I58" i="8"/>
  <c r="I55" i="23"/>
  <c r="I60" i="7"/>
  <c r="B54" i="27"/>
  <c r="I49" i="45"/>
  <c r="I51" i="30"/>
  <c r="I56" i="22"/>
  <c r="I59" i="11"/>
  <c r="E54" i="27"/>
  <c r="F54" i="27" s="1"/>
  <c r="D50" i="46"/>
  <c r="E50" i="46" s="1"/>
  <c r="G49" i="46"/>
  <c r="H49" i="46"/>
  <c r="B59" i="6"/>
  <c r="F59" i="6"/>
  <c r="B57" i="25"/>
  <c r="F57" i="25"/>
  <c r="F53" i="28"/>
  <c r="B53" i="28"/>
  <c r="F56" i="23"/>
  <c r="B56" i="23"/>
  <c r="B52" i="30"/>
  <c r="F52" i="30"/>
  <c r="F58" i="4"/>
  <c r="B58" i="4"/>
  <c r="B55" i="24"/>
  <c r="F55" i="24"/>
  <c r="B61" i="7"/>
  <c r="F61" i="7"/>
  <c r="B59" i="8"/>
  <c r="F59" i="8"/>
  <c r="F48" i="43"/>
  <c r="H48" i="43" s="1"/>
  <c r="B48" i="43"/>
  <c r="F49" i="42"/>
  <c r="B49" i="42"/>
  <c r="B53" i="31"/>
  <c r="F53" i="31"/>
  <c r="B50" i="38"/>
  <c r="F50" i="38"/>
  <c r="G50" i="38" s="1"/>
  <c r="F51" i="37"/>
  <c r="H51" i="37" s="1"/>
  <c r="B51" i="37"/>
  <c r="I52" i="28"/>
  <c r="F49" i="41"/>
  <c r="G49" i="41" s="1"/>
  <c r="B49" i="41"/>
  <c r="B58" i="5"/>
  <c r="F58" i="5"/>
  <c r="I47" i="43"/>
  <c r="F57" i="22"/>
  <c r="B57" i="22"/>
  <c r="B62" i="10"/>
  <c r="F62" i="10"/>
  <c r="F58" i="3"/>
  <c r="B58" i="3"/>
  <c r="B49" i="40"/>
  <c r="F49" i="40"/>
  <c r="G49" i="40" s="1"/>
  <c r="I58" i="6"/>
  <c r="I49" i="39"/>
  <c r="F60" i="11"/>
  <c r="B60" i="11"/>
  <c r="I54" i="24"/>
  <c r="F50" i="39"/>
  <c r="H50" i="39" s="1"/>
  <c r="B50" i="39"/>
  <c r="F53" i="29"/>
  <c r="B53" i="29"/>
  <c r="I52" i="31"/>
  <c r="D61" i="9"/>
  <c r="E61" i="9" s="1"/>
  <c r="G60" i="9"/>
  <c r="H60" i="9"/>
  <c r="B50" i="45"/>
  <c r="F50" i="45"/>
  <c r="H50" i="45" s="1"/>
  <c r="B132" i="13"/>
  <c r="I131" i="13"/>
  <c r="H131" i="13"/>
  <c r="E132" i="13"/>
  <c r="F132" i="13" s="1"/>
  <c r="D136" i="55" l="1"/>
  <c r="E136" i="55" s="1"/>
  <c r="I54" i="54"/>
  <c r="H57" i="55"/>
  <c r="E58" i="55"/>
  <c r="F58" i="55" s="1"/>
  <c r="B58" i="55"/>
  <c r="G57" i="55"/>
  <c r="F55" i="54"/>
  <c r="D56" i="54" s="1"/>
  <c r="B55" i="54"/>
  <c r="I135" i="55"/>
  <c r="H135" i="55"/>
  <c r="D134" i="54"/>
  <c r="G133" i="54"/>
  <c r="F136" i="55"/>
  <c r="B136" i="55"/>
  <c r="H137" i="49"/>
  <c r="I137" i="49"/>
  <c r="H138" i="48"/>
  <c r="I138" i="48"/>
  <c r="F138" i="49"/>
  <c r="B138" i="49"/>
  <c r="E139" i="48"/>
  <c r="F139" i="48" s="1"/>
  <c r="B139" i="48"/>
  <c r="F52" i="49"/>
  <c r="B52" i="49"/>
  <c r="D49" i="47"/>
  <c r="E49" i="47" s="1"/>
  <c r="H48" i="47"/>
  <c r="I48" i="47" s="1"/>
  <c r="H48" i="48"/>
  <c r="I48" i="48" s="1"/>
  <c r="D49" i="48"/>
  <c r="E49" i="48"/>
  <c r="I49" i="13"/>
  <c r="E50" i="13"/>
  <c r="F50" i="13" s="1"/>
  <c r="B50" i="13"/>
  <c r="H50" i="44"/>
  <c r="D51" i="44"/>
  <c r="G50" i="44"/>
  <c r="I49" i="46"/>
  <c r="G51" i="37"/>
  <c r="I51" i="37" s="1"/>
  <c r="G50" i="45"/>
  <c r="I50" i="45" s="1"/>
  <c r="D55" i="27"/>
  <c r="G54" i="27"/>
  <c r="H54" i="27"/>
  <c r="H49" i="40"/>
  <c r="I49" i="40" s="1"/>
  <c r="H49" i="41"/>
  <c r="I49" i="41" s="1"/>
  <c r="G53" i="29"/>
  <c r="H53" i="29"/>
  <c r="D54" i="29"/>
  <c r="E54" i="29"/>
  <c r="D51" i="39"/>
  <c r="E51" i="39"/>
  <c r="G62" i="10"/>
  <c r="D63" i="10"/>
  <c r="E63" i="10" s="1"/>
  <c r="H62" i="10"/>
  <c r="G53" i="31"/>
  <c r="H53" i="31"/>
  <c r="D54" i="31"/>
  <c r="E54" i="31" s="1"/>
  <c r="D50" i="42"/>
  <c r="E50" i="42"/>
  <c r="G61" i="7"/>
  <c r="H61" i="7"/>
  <c r="D62" i="7"/>
  <c r="E62" i="7" s="1"/>
  <c r="G57" i="25"/>
  <c r="H57" i="25"/>
  <c r="D58" i="25"/>
  <c r="E58" i="25" s="1"/>
  <c r="B61" i="9"/>
  <c r="F61" i="9"/>
  <c r="H58" i="5"/>
  <c r="D59" i="5"/>
  <c r="E59" i="5" s="1"/>
  <c r="G58" i="5"/>
  <c r="D51" i="38"/>
  <c r="E51" i="38" s="1"/>
  <c r="G49" i="42"/>
  <c r="D49" i="43"/>
  <c r="E49" i="43"/>
  <c r="D59" i="4"/>
  <c r="E59" i="4" s="1"/>
  <c r="G58" i="4"/>
  <c r="H58" i="4"/>
  <c r="G56" i="23"/>
  <c r="D57" i="23"/>
  <c r="E57" i="23" s="1"/>
  <c r="H56" i="23"/>
  <c r="I60" i="9"/>
  <c r="D50" i="40"/>
  <c r="E50" i="40" s="1"/>
  <c r="D50" i="41"/>
  <c r="E50" i="41" s="1"/>
  <c r="H50" i="38"/>
  <c r="I50" i="38" s="1"/>
  <c r="H49" i="42"/>
  <c r="D60" i="8"/>
  <c r="E60" i="8" s="1"/>
  <c r="G59" i="8"/>
  <c r="H59" i="8"/>
  <c r="G55" i="24"/>
  <c r="H55" i="24"/>
  <c r="D56" i="24"/>
  <c r="E56" i="24" s="1"/>
  <c r="D53" i="30"/>
  <c r="H52" i="30"/>
  <c r="G52" i="30"/>
  <c r="E53" i="30"/>
  <c r="G59" i="6"/>
  <c r="H59" i="6"/>
  <c r="D60" i="6"/>
  <c r="E60" i="6" s="1"/>
  <c r="D51" i="45"/>
  <c r="E51" i="45" s="1"/>
  <c r="G50" i="39"/>
  <c r="I50" i="39" s="1"/>
  <c r="H60" i="11"/>
  <c r="D61" i="11"/>
  <c r="E61" i="11" s="1"/>
  <c r="G60" i="11"/>
  <c r="H58" i="3"/>
  <c r="D59" i="3"/>
  <c r="E59" i="3" s="1"/>
  <c r="G58" i="3"/>
  <c r="H57" i="22"/>
  <c r="D58" i="22"/>
  <c r="E58" i="22" s="1"/>
  <c r="G57" i="22"/>
  <c r="D52" i="37"/>
  <c r="E52" i="37" s="1"/>
  <c r="G48" i="43"/>
  <c r="I48" i="43" s="1"/>
  <c r="H53" i="28"/>
  <c r="D54" i="28"/>
  <c r="E54" i="28" s="1"/>
  <c r="G53" i="28"/>
  <c r="F50" i="46"/>
  <c r="B50" i="46"/>
  <c r="D133" i="13"/>
  <c r="E133" i="13" s="1"/>
  <c r="G132" i="13"/>
  <c r="G58" i="55" l="1"/>
  <c r="H58" i="55"/>
  <c r="D59" i="55"/>
  <c r="E59" i="55" s="1"/>
  <c r="H55" i="54"/>
  <c r="E56" i="54"/>
  <c r="F56" i="54" s="1"/>
  <c r="B56" i="54"/>
  <c r="G55" i="54"/>
  <c r="I57" i="55"/>
  <c r="G136" i="55"/>
  <c r="D137" i="55"/>
  <c r="E137" i="55" s="1"/>
  <c r="I133" i="54"/>
  <c r="H133" i="54"/>
  <c r="E134" i="54"/>
  <c r="F134" i="54" s="1"/>
  <c r="B134" i="54"/>
  <c r="D140" i="48"/>
  <c r="B140" i="48" s="1"/>
  <c r="G139" i="48"/>
  <c r="G138" i="49"/>
  <c r="D139" i="49"/>
  <c r="B49" i="47"/>
  <c r="F49" i="47"/>
  <c r="H49" i="47" s="1"/>
  <c r="E53" i="49"/>
  <c r="D53" i="49"/>
  <c r="F49" i="48"/>
  <c r="B49" i="48"/>
  <c r="H52" i="49"/>
  <c r="G52" i="49"/>
  <c r="D51" i="13"/>
  <c r="H50" i="13"/>
  <c r="G50" i="13"/>
  <c r="I59" i="6"/>
  <c r="I53" i="29"/>
  <c r="E51" i="44"/>
  <c r="F51" i="44" s="1"/>
  <c r="B51" i="44"/>
  <c r="I54" i="27"/>
  <c r="I50" i="44"/>
  <c r="I52" i="30"/>
  <c r="I49" i="42"/>
  <c r="I58" i="4"/>
  <c r="I55" i="24"/>
  <c r="I59" i="8"/>
  <c r="I57" i="25"/>
  <c r="I61" i="7"/>
  <c r="I58" i="3"/>
  <c r="I60" i="11"/>
  <c r="B55" i="27"/>
  <c r="E55" i="27"/>
  <c r="F55" i="27" s="1"/>
  <c r="B60" i="8"/>
  <c r="F60" i="8"/>
  <c r="F50" i="41"/>
  <c r="H50" i="41" s="1"/>
  <c r="B50" i="41"/>
  <c r="B59" i="4"/>
  <c r="F59" i="4"/>
  <c r="F49" i="43"/>
  <c r="H49" i="43" s="1"/>
  <c r="B49" i="43"/>
  <c r="F58" i="25"/>
  <c r="B58" i="25"/>
  <c r="F62" i="7"/>
  <c r="B62" i="7"/>
  <c r="B50" i="42"/>
  <c r="F50" i="42"/>
  <c r="H50" i="42" s="1"/>
  <c r="B54" i="29"/>
  <c r="F54" i="29"/>
  <c r="D51" i="46"/>
  <c r="E51" i="46" s="1"/>
  <c r="F54" i="28"/>
  <c r="B54" i="28"/>
  <c r="F52" i="37"/>
  <c r="G52" i="37" s="1"/>
  <c r="B52" i="37"/>
  <c r="B58" i="22"/>
  <c r="F58" i="22"/>
  <c r="F60" i="6"/>
  <c r="B60" i="6"/>
  <c r="B56" i="24"/>
  <c r="F56" i="24"/>
  <c r="H61" i="9"/>
  <c r="D62" i="9"/>
  <c r="E62" i="9" s="1"/>
  <c r="G61" i="9"/>
  <c r="H50" i="46"/>
  <c r="I53" i="28"/>
  <c r="I57" i="22"/>
  <c r="F50" i="40"/>
  <c r="H50" i="40" s="1"/>
  <c r="B50" i="40"/>
  <c r="I56" i="23"/>
  <c r="F59" i="5"/>
  <c r="B59" i="5"/>
  <c r="B54" i="31"/>
  <c r="F54" i="31"/>
  <c r="I62" i="10"/>
  <c r="B51" i="39"/>
  <c r="F51" i="39"/>
  <c r="G50" i="46"/>
  <c r="F59" i="3"/>
  <c r="B59" i="3"/>
  <c r="F61" i="11"/>
  <c r="B61" i="11"/>
  <c r="F51" i="45"/>
  <c r="G51" i="45" s="1"/>
  <c r="B51" i="45"/>
  <c r="F53" i="30"/>
  <c r="B53" i="30"/>
  <c r="F57" i="23"/>
  <c r="B57" i="23"/>
  <c r="F51" i="38"/>
  <c r="G51" i="38" s="1"/>
  <c r="B51" i="38"/>
  <c r="I53" i="31"/>
  <c r="F63" i="10"/>
  <c r="B63" i="10"/>
  <c r="B133" i="13"/>
  <c r="F133" i="13"/>
  <c r="I132" i="13"/>
  <c r="H132" i="13"/>
  <c r="I58" i="55" l="1"/>
  <c r="I55" i="54"/>
  <c r="D57" i="54"/>
  <c r="G56" i="54"/>
  <c r="H56" i="54"/>
  <c r="I56" i="54" s="1"/>
  <c r="E57" i="54"/>
  <c r="F57" i="54" s="1"/>
  <c r="B57" i="54"/>
  <c r="B59" i="55"/>
  <c r="F59" i="55"/>
  <c r="G59" i="55" s="1"/>
  <c r="G134" i="54"/>
  <c r="D135" i="54"/>
  <c r="E135" i="54" s="1"/>
  <c r="B137" i="55"/>
  <c r="F137" i="55"/>
  <c r="H136" i="55"/>
  <c r="I136" i="55"/>
  <c r="E140" i="48"/>
  <c r="F140" i="48" s="1"/>
  <c r="G140" i="48" s="1"/>
  <c r="G49" i="47"/>
  <c r="I49" i="47" s="1"/>
  <c r="I52" i="49"/>
  <c r="I138" i="49"/>
  <c r="H138" i="49"/>
  <c r="H139" i="48"/>
  <c r="I139" i="48"/>
  <c r="E139" i="49"/>
  <c r="F139" i="49" s="1"/>
  <c r="B139" i="49"/>
  <c r="D50" i="48"/>
  <c r="E50" i="48" s="1"/>
  <c r="H49" i="48"/>
  <c r="B53" i="49"/>
  <c r="F53" i="49"/>
  <c r="G53" i="49" s="1"/>
  <c r="D50" i="47"/>
  <c r="E50" i="47" s="1"/>
  <c r="G49" i="48"/>
  <c r="I50" i="13"/>
  <c r="E51" i="13"/>
  <c r="F51" i="13" s="1"/>
  <c r="B51" i="13"/>
  <c r="H51" i="44"/>
  <c r="G51" i="44"/>
  <c r="D52" i="44"/>
  <c r="H51" i="45"/>
  <c r="I51" i="45" s="1"/>
  <c r="H52" i="37"/>
  <c r="I52" i="37" s="1"/>
  <c r="G50" i="40"/>
  <c r="I50" i="40" s="1"/>
  <c r="H55" i="27"/>
  <c r="D56" i="27"/>
  <c r="E56" i="27" s="1"/>
  <c r="G55" i="27"/>
  <c r="I61" i="9"/>
  <c r="H57" i="23"/>
  <c r="D58" i="23"/>
  <c r="E58" i="23" s="1"/>
  <c r="G57" i="23"/>
  <c r="G61" i="11"/>
  <c r="D62" i="11"/>
  <c r="E62" i="11" s="1"/>
  <c r="H61" i="11"/>
  <c r="G59" i="4"/>
  <c r="D60" i="4"/>
  <c r="E60" i="4" s="1"/>
  <c r="H59" i="4"/>
  <c r="H63" i="10"/>
  <c r="G63" i="10"/>
  <c r="D64" i="10"/>
  <c r="E64" i="10" s="1"/>
  <c r="D52" i="39"/>
  <c r="E52" i="39" s="1"/>
  <c r="G59" i="5"/>
  <c r="D60" i="5"/>
  <c r="E60" i="5" s="1"/>
  <c r="H59" i="5"/>
  <c r="I50" i="46"/>
  <c r="H60" i="6"/>
  <c r="D61" i="6"/>
  <c r="E61" i="6" s="1"/>
  <c r="G60" i="6"/>
  <c r="G54" i="28"/>
  <c r="D55" i="28"/>
  <c r="E55" i="28" s="1"/>
  <c r="H54" i="28"/>
  <c r="F51" i="46"/>
  <c r="B51" i="46"/>
  <c r="D51" i="42"/>
  <c r="E51" i="42"/>
  <c r="H62" i="7"/>
  <c r="D63" i="7"/>
  <c r="E63" i="7" s="1"/>
  <c r="G62" i="7"/>
  <c r="D51" i="41"/>
  <c r="E51" i="41"/>
  <c r="D52" i="38"/>
  <c r="E52" i="38"/>
  <c r="H51" i="38"/>
  <c r="I51" i="38" s="1"/>
  <c r="H53" i="30"/>
  <c r="G53" i="30"/>
  <c r="D54" i="30"/>
  <c r="E54" i="30"/>
  <c r="D52" i="45"/>
  <c r="E52" i="45" s="1"/>
  <c r="G59" i="3"/>
  <c r="D60" i="3"/>
  <c r="E60" i="3" s="1"/>
  <c r="H59" i="3"/>
  <c r="G51" i="39"/>
  <c r="G54" i="31"/>
  <c r="D55" i="31"/>
  <c r="E55" i="31" s="1"/>
  <c r="H54" i="31"/>
  <c r="D51" i="40"/>
  <c r="E51" i="40"/>
  <c r="G56" i="24"/>
  <c r="D57" i="24"/>
  <c r="E57" i="24" s="1"/>
  <c r="H56" i="24"/>
  <c r="G58" i="22"/>
  <c r="H58" i="22"/>
  <c r="D59" i="22"/>
  <c r="E59" i="22" s="1"/>
  <c r="D55" i="29"/>
  <c r="E55" i="29" s="1"/>
  <c r="G54" i="29"/>
  <c r="H54" i="29"/>
  <c r="D50" i="43"/>
  <c r="E50" i="43" s="1"/>
  <c r="D61" i="8"/>
  <c r="E61" i="8" s="1"/>
  <c r="G60" i="8"/>
  <c r="H60" i="8"/>
  <c r="H51" i="39"/>
  <c r="B62" i="9"/>
  <c r="F62" i="9"/>
  <c r="D53" i="37"/>
  <c r="E53" i="37" s="1"/>
  <c r="G50" i="42"/>
  <c r="I50" i="42" s="1"/>
  <c r="H58" i="25"/>
  <c r="D59" i="25"/>
  <c r="E59" i="25" s="1"/>
  <c r="G58" i="25"/>
  <c r="G49" i="43"/>
  <c r="I49" i="43" s="1"/>
  <c r="G50" i="41"/>
  <c r="I50" i="41" s="1"/>
  <c r="G133" i="13"/>
  <c r="D134" i="13"/>
  <c r="D141" i="48" l="1"/>
  <c r="D58" i="54"/>
  <c r="G57" i="54"/>
  <c r="H57" i="54"/>
  <c r="D60" i="55"/>
  <c r="E60" i="55" s="1"/>
  <c r="E58" i="54"/>
  <c r="F58" i="54" s="1"/>
  <c r="D59" i="54" s="1"/>
  <c r="B58" i="54"/>
  <c r="H59" i="55"/>
  <c r="I59" i="55" s="1"/>
  <c r="G137" i="55"/>
  <c r="D138" i="55"/>
  <c r="E138" i="55" s="1"/>
  <c r="B135" i="54"/>
  <c r="F135" i="54"/>
  <c r="H134" i="54"/>
  <c r="I134" i="54"/>
  <c r="H53" i="49"/>
  <c r="I53" i="49" s="1"/>
  <c r="I49" i="48"/>
  <c r="D140" i="49"/>
  <c r="B140" i="49" s="1"/>
  <c r="G139" i="49"/>
  <c r="I140" i="48"/>
  <c r="H140" i="48"/>
  <c r="E141" i="48"/>
  <c r="F141" i="48" s="1"/>
  <c r="B141" i="48"/>
  <c r="F50" i="48"/>
  <c r="H50" i="48" s="1"/>
  <c r="B50" i="48"/>
  <c r="B50" i="47"/>
  <c r="F50" i="47"/>
  <c r="H50" i="47" s="1"/>
  <c r="E54" i="49"/>
  <c r="D54" i="49"/>
  <c r="G51" i="13"/>
  <c r="D52" i="13"/>
  <c r="H51" i="13"/>
  <c r="E52" i="44"/>
  <c r="F52" i="44" s="1"/>
  <c r="B52" i="44"/>
  <c r="I51" i="44"/>
  <c r="I56" i="24"/>
  <c r="I60" i="6"/>
  <c r="I61" i="11"/>
  <c r="I55" i="27"/>
  <c r="I51" i="39"/>
  <c r="I60" i="8"/>
  <c r="I54" i="31"/>
  <c r="I53" i="30"/>
  <c r="I59" i="3"/>
  <c r="I63" i="10"/>
  <c r="B56" i="27"/>
  <c r="F56" i="27"/>
  <c r="I58" i="25"/>
  <c r="B54" i="30"/>
  <c r="F54" i="30"/>
  <c r="D52" i="46"/>
  <c r="F55" i="28"/>
  <c r="B55" i="28"/>
  <c r="F61" i="6"/>
  <c r="B61" i="6"/>
  <c r="B60" i="4"/>
  <c r="F60" i="4"/>
  <c r="H62" i="9"/>
  <c r="D63" i="9"/>
  <c r="E63" i="9" s="1"/>
  <c r="G62" i="9"/>
  <c r="F61" i="8"/>
  <c r="B61" i="8"/>
  <c r="I54" i="29"/>
  <c r="F52" i="38"/>
  <c r="H52" i="38" s="1"/>
  <c r="B52" i="38"/>
  <c r="F51" i="42"/>
  <c r="G51" i="42" s="1"/>
  <c r="B51" i="42"/>
  <c r="G51" i="46"/>
  <c r="F64" i="10"/>
  <c r="B64" i="10"/>
  <c r="B59" i="22"/>
  <c r="F59" i="22"/>
  <c r="F51" i="40"/>
  <c r="G51" i="40" s="1"/>
  <c r="B51" i="40"/>
  <c r="F55" i="31"/>
  <c r="B55" i="31"/>
  <c r="F52" i="45"/>
  <c r="G52" i="45" s="1"/>
  <c r="B52" i="45"/>
  <c r="F63" i="7"/>
  <c r="B63" i="7"/>
  <c r="B52" i="39"/>
  <c r="F52" i="39"/>
  <c r="H52" i="39" s="1"/>
  <c r="F62" i="11"/>
  <c r="B62" i="11"/>
  <c r="F58" i="23"/>
  <c r="B58" i="23"/>
  <c r="B59" i="25"/>
  <c r="F59" i="25"/>
  <c r="B53" i="37"/>
  <c r="F53" i="37"/>
  <c r="H53" i="37" s="1"/>
  <c r="F50" i="43"/>
  <c r="G50" i="43" s="1"/>
  <c r="B50" i="43"/>
  <c r="B55" i="29"/>
  <c r="F55" i="29"/>
  <c r="I58" i="22"/>
  <c r="B57" i="24"/>
  <c r="F57" i="24"/>
  <c r="F60" i="3"/>
  <c r="B60" i="3"/>
  <c r="F51" i="41"/>
  <c r="G51" i="41" s="1"/>
  <c r="B51" i="41"/>
  <c r="I62" i="7"/>
  <c r="H51" i="46"/>
  <c r="I54" i="28"/>
  <c r="F60" i="5"/>
  <c r="B60" i="5"/>
  <c r="I59" i="4"/>
  <c r="I57" i="23"/>
  <c r="B134" i="13"/>
  <c r="E134" i="13"/>
  <c r="F134" i="13" s="1"/>
  <c r="H133" i="13"/>
  <c r="I133" i="13"/>
  <c r="I57" i="54" l="1"/>
  <c r="G58" i="54"/>
  <c r="H58" i="54"/>
  <c r="I58" i="54" s="1"/>
  <c r="E59" i="54"/>
  <c r="F59" i="54"/>
  <c r="D60" i="54" s="1"/>
  <c r="B59" i="54"/>
  <c r="G59" i="54"/>
  <c r="H59" i="54"/>
  <c r="B60" i="55"/>
  <c r="F60" i="55"/>
  <c r="D61" i="55" s="1"/>
  <c r="D136" i="54"/>
  <c r="E136" i="54" s="1"/>
  <c r="G135" i="54"/>
  <c r="F138" i="55"/>
  <c r="B138" i="55"/>
  <c r="I137" i="55"/>
  <c r="H137" i="55"/>
  <c r="E140" i="49"/>
  <c r="F140" i="49" s="1"/>
  <c r="G140" i="49" s="1"/>
  <c r="D142" i="48"/>
  <c r="G141" i="48"/>
  <c r="H139" i="49"/>
  <c r="I139" i="49"/>
  <c r="F54" i="49"/>
  <c r="G54" i="49" s="1"/>
  <c r="B54" i="49"/>
  <c r="D51" i="47"/>
  <c r="E51" i="47" s="1"/>
  <c r="D51" i="48"/>
  <c r="E51" i="48" s="1"/>
  <c r="G50" i="47"/>
  <c r="I50" i="47" s="1"/>
  <c r="G50" i="48"/>
  <c r="I50" i="48" s="1"/>
  <c r="I51" i="13"/>
  <c r="B52" i="13"/>
  <c r="E52" i="13"/>
  <c r="F52" i="13" s="1"/>
  <c r="D53" i="44"/>
  <c r="G52" i="44"/>
  <c r="H52" i="44"/>
  <c r="H50" i="43"/>
  <c r="I50" i="43" s="1"/>
  <c r="I51" i="46"/>
  <c r="H51" i="40"/>
  <c r="I51" i="40" s="1"/>
  <c r="G53" i="37"/>
  <c r="I53" i="37" s="1"/>
  <c r="G52" i="39"/>
  <c r="I52" i="39" s="1"/>
  <c r="H52" i="45"/>
  <c r="I52" i="45" s="1"/>
  <c r="D57" i="27"/>
  <c r="H56" i="27"/>
  <c r="G56" i="27"/>
  <c r="H60" i="3"/>
  <c r="D61" i="3"/>
  <c r="E61" i="3" s="1"/>
  <c r="G60" i="3"/>
  <c r="D63" i="11"/>
  <c r="E63" i="11" s="1"/>
  <c r="G62" i="11"/>
  <c r="H62" i="11"/>
  <c r="D56" i="31"/>
  <c r="E56" i="31" s="1"/>
  <c r="G55" i="31"/>
  <c r="H55" i="31"/>
  <c r="D52" i="40"/>
  <c r="E52" i="40" s="1"/>
  <c r="D65" i="10"/>
  <c r="G64" i="10"/>
  <c r="H64" i="10"/>
  <c r="G52" i="38"/>
  <c r="I52" i="38" s="1"/>
  <c r="G61" i="8"/>
  <c r="D62" i="8"/>
  <c r="E62" i="8" s="1"/>
  <c r="H61" i="8"/>
  <c r="I62" i="9"/>
  <c r="G61" i="6"/>
  <c r="D62" i="6"/>
  <c r="E62" i="6" s="1"/>
  <c r="H61" i="6"/>
  <c r="B52" i="46"/>
  <c r="D52" i="41"/>
  <c r="E52" i="41" s="1"/>
  <c r="H55" i="29"/>
  <c r="D56" i="29"/>
  <c r="E56" i="29" s="1"/>
  <c r="G55" i="29"/>
  <c r="D60" i="22"/>
  <c r="E60" i="22" s="1"/>
  <c r="H59" i="22"/>
  <c r="G59" i="22"/>
  <c r="D52" i="42"/>
  <c r="E52" i="42"/>
  <c r="D61" i="4"/>
  <c r="E61" i="4" s="1"/>
  <c r="G60" i="4"/>
  <c r="H60" i="4"/>
  <c r="G54" i="30"/>
  <c r="D55" i="30"/>
  <c r="E55" i="30" s="1"/>
  <c r="H54" i="30"/>
  <c r="G60" i="5"/>
  <c r="D61" i="5"/>
  <c r="E61" i="5" s="1"/>
  <c r="H60" i="5"/>
  <c r="H51" i="41"/>
  <c r="I51" i="41" s="1"/>
  <c r="G57" i="24"/>
  <c r="D58" i="24"/>
  <c r="E58" i="24" s="1"/>
  <c r="H57" i="24"/>
  <c r="D51" i="43"/>
  <c r="E51" i="43"/>
  <c r="D59" i="23"/>
  <c r="E59" i="23" s="1"/>
  <c r="G58" i="23"/>
  <c r="H58" i="23"/>
  <c r="D53" i="39"/>
  <c r="E53" i="39" s="1"/>
  <c r="H63" i="7"/>
  <c r="G63" i="7"/>
  <c r="D64" i="7"/>
  <c r="E64" i="7" s="1"/>
  <c r="D53" i="45"/>
  <c r="E53" i="45" s="1"/>
  <c r="H55" i="28"/>
  <c r="G55" i="28"/>
  <c r="D56" i="28"/>
  <c r="E56" i="28" s="1"/>
  <c r="D54" i="37"/>
  <c r="E54" i="37"/>
  <c r="G59" i="25"/>
  <c r="H59" i="25"/>
  <c r="D60" i="25"/>
  <c r="E60" i="25" s="1"/>
  <c r="H51" i="42"/>
  <c r="I51" i="42" s="1"/>
  <c r="D53" i="38"/>
  <c r="E53" i="38" s="1"/>
  <c r="B63" i="9"/>
  <c r="F63" i="9"/>
  <c r="E52" i="46"/>
  <c r="F52" i="46" s="1"/>
  <c r="D135" i="13"/>
  <c r="G134" i="13"/>
  <c r="I59" i="54" l="1"/>
  <c r="E61" i="55"/>
  <c r="F61" i="55" s="1"/>
  <c r="H61" i="55" s="1"/>
  <c r="B61" i="55"/>
  <c r="E60" i="54"/>
  <c r="B60" i="54"/>
  <c r="F60" i="54"/>
  <c r="D61" i="54" s="1"/>
  <c r="H60" i="55"/>
  <c r="G60" i="55"/>
  <c r="G138" i="55"/>
  <c r="D139" i="55"/>
  <c r="B139" i="55" s="1"/>
  <c r="H135" i="54"/>
  <c r="I135" i="54"/>
  <c r="F136" i="54"/>
  <c r="B136" i="54"/>
  <c r="D141" i="49"/>
  <c r="E141" i="49" s="1"/>
  <c r="F141" i="49" s="1"/>
  <c r="H54" i="49"/>
  <c r="I54" i="49" s="1"/>
  <c r="I141" i="48"/>
  <c r="H141" i="48"/>
  <c r="E142" i="48"/>
  <c r="F142" i="48" s="1"/>
  <c r="B142" i="48"/>
  <c r="I140" i="49"/>
  <c r="H140" i="49"/>
  <c r="F51" i="48"/>
  <c r="H51" i="48" s="1"/>
  <c r="B51" i="48"/>
  <c r="B51" i="47"/>
  <c r="F51" i="47"/>
  <c r="H51" i="47" s="1"/>
  <c r="D55" i="49"/>
  <c r="E55" i="49" s="1"/>
  <c r="G52" i="13"/>
  <c r="D53" i="13"/>
  <c r="H52" i="13"/>
  <c r="I52" i="44"/>
  <c r="B53" i="44"/>
  <c r="E53" i="44"/>
  <c r="F53" i="44" s="1"/>
  <c r="I61" i="8"/>
  <c r="I56" i="27"/>
  <c r="I54" i="30"/>
  <c r="I57" i="24"/>
  <c r="I61" i="6"/>
  <c r="B57" i="27"/>
  <c r="E57" i="27"/>
  <c r="F57" i="27" s="1"/>
  <c r="I55" i="28"/>
  <c r="I60" i="4"/>
  <c r="I55" i="31"/>
  <c r="D53" i="46"/>
  <c r="E53" i="46" s="1"/>
  <c r="H52" i="46"/>
  <c r="G52" i="46"/>
  <c r="F60" i="25"/>
  <c r="B60" i="25"/>
  <c r="B54" i="37"/>
  <c r="F54" i="37"/>
  <c r="G54" i="37" s="1"/>
  <c r="F52" i="42"/>
  <c r="H52" i="42" s="1"/>
  <c r="B52" i="42"/>
  <c r="F60" i="22"/>
  <c r="B60" i="22"/>
  <c r="I55" i="29"/>
  <c r="B65" i="10"/>
  <c r="I62" i="11"/>
  <c r="B53" i="38"/>
  <c r="F53" i="38"/>
  <c r="G53" i="38" s="1"/>
  <c r="I59" i="25"/>
  <c r="F64" i="7"/>
  <c r="B64" i="7"/>
  <c r="B53" i="39"/>
  <c r="F53" i="39"/>
  <c r="G53" i="39" s="1"/>
  <c r="B59" i="23"/>
  <c r="F59" i="23"/>
  <c r="B62" i="6"/>
  <c r="F62" i="6"/>
  <c r="I64" i="10"/>
  <c r="B61" i="3"/>
  <c r="F61" i="3"/>
  <c r="D64" i="9"/>
  <c r="E64" i="9" s="1"/>
  <c r="G63" i="9"/>
  <c r="H63" i="9"/>
  <c r="B56" i="28"/>
  <c r="F56" i="28"/>
  <c r="B58" i="24"/>
  <c r="F58" i="24"/>
  <c r="F61" i="4"/>
  <c r="B61" i="4"/>
  <c r="F52" i="41"/>
  <c r="H52" i="41" s="1"/>
  <c r="B52" i="41"/>
  <c r="B62" i="8"/>
  <c r="F62" i="8"/>
  <c r="B52" i="40"/>
  <c r="F52" i="40"/>
  <c r="G52" i="40" s="1"/>
  <c r="F56" i="31"/>
  <c r="B56" i="31"/>
  <c r="B63" i="11"/>
  <c r="F63" i="11"/>
  <c r="I60" i="3"/>
  <c r="B53" i="45"/>
  <c r="F53" i="45"/>
  <c r="G53" i="45" s="1"/>
  <c r="I63" i="7"/>
  <c r="I58" i="23"/>
  <c r="B51" i="43"/>
  <c r="F51" i="43"/>
  <c r="H51" i="43" s="1"/>
  <c r="B61" i="5"/>
  <c r="F61" i="5"/>
  <c r="B55" i="30"/>
  <c r="F55" i="30"/>
  <c r="I59" i="22"/>
  <c r="B56" i="29"/>
  <c r="F56" i="29"/>
  <c r="E65" i="10"/>
  <c r="F65" i="10" s="1"/>
  <c r="B135" i="13"/>
  <c r="I134" i="13"/>
  <c r="H134" i="13"/>
  <c r="E135" i="13"/>
  <c r="F135" i="13" s="1"/>
  <c r="E139" i="55" l="1"/>
  <c r="F139" i="55" s="1"/>
  <c r="G60" i="54"/>
  <c r="E61" i="54"/>
  <c r="B61" i="54"/>
  <c r="F61" i="54"/>
  <c r="H61" i="54" s="1"/>
  <c r="I60" i="55"/>
  <c r="G61" i="55"/>
  <c r="I61" i="55" s="1"/>
  <c r="D62" i="55"/>
  <c r="H60" i="54"/>
  <c r="B141" i="49"/>
  <c r="G136" i="54"/>
  <c r="D137" i="54"/>
  <c r="E137" i="54" s="1"/>
  <c r="G139" i="55"/>
  <c r="D140" i="55"/>
  <c r="I138" i="55"/>
  <c r="H138" i="55"/>
  <c r="G51" i="48"/>
  <c r="I51" i="48" s="1"/>
  <c r="G51" i="47"/>
  <c r="I51" i="47" s="1"/>
  <c r="G142" i="48"/>
  <c r="D143" i="48"/>
  <c r="G141" i="49"/>
  <c r="D142" i="49"/>
  <c r="D52" i="47"/>
  <c r="E52" i="47" s="1"/>
  <c r="F55" i="49"/>
  <c r="H55" i="49" s="1"/>
  <c r="B55" i="49"/>
  <c r="D52" i="48"/>
  <c r="E52" i="48" s="1"/>
  <c r="I52" i="13"/>
  <c r="E53" i="13"/>
  <c r="F53" i="13" s="1"/>
  <c r="B53" i="13"/>
  <c r="G52" i="41"/>
  <c r="I52" i="41" s="1"/>
  <c r="D54" i="44"/>
  <c r="H53" i="44"/>
  <c r="G53" i="44"/>
  <c r="I52" i="46"/>
  <c r="G51" i="43"/>
  <c r="I51" i="43" s="1"/>
  <c r="I63" i="9"/>
  <c r="D58" i="27"/>
  <c r="E58" i="27" s="1"/>
  <c r="G57" i="27"/>
  <c r="H57" i="27"/>
  <c r="H53" i="45"/>
  <c r="I53" i="45" s="1"/>
  <c r="H53" i="39"/>
  <c r="I53" i="39" s="1"/>
  <c r="G52" i="42"/>
  <c r="I52" i="42" s="1"/>
  <c r="H54" i="37"/>
  <c r="I54" i="37" s="1"/>
  <c r="D66" i="10"/>
  <c r="E66" i="10" s="1"/>
  <c r="G65" i="10"/>
  <c r="H65" i="10"/>
  <c r="G56" i="29"/>
  <c r="H56" i="29"/>
  <c r="D57" i="29"/>
  <c r="E57" i="29" s="1"/>
  <c r="D53" i="40"/>
  <c r="E53" i="40" s="1"/>
  <c r="G59" i="23"/>
  <c r="H59" i="23"/>
  <c r="D60" i="23"/>
  <c r="E60" i="23" s="1"/>
  <c r="D61" i="22"/>
  <c r="E61" i="22" s="1"/>
  <c r="G60" i="22"/>
  <c r="H60" i="22"/>
  <c r="D62" i="5"/>
  <c r="E62" i="5" s="1"/>
  <c r="G61" i="5"/>
  <c r="H61" i="5"/>
  <c r="H56" i="28"/>
  <c r="D57" i="28"/>
  <c r="E57" i="28" s="1"/>
  <c r="G56" i="28"/>
  <c r="D54" i="38"/>
  <c r="E54" i="38"/>
  <c r="H56" i="31"/>
  <c r="D57" i="31"/>
  <c r="E57" i="31" s="1"/>
  <c r="G56" i="31"/>
  <c r="H61" i="4"/>
  <c r="D62" i="4"/>
  <c r="E62" i="4" s="1"/>
  <c r="G61" i="4"/>
  <c r="F64" i="9"/>
  <c r="B64" i="9"/>
  <c r="G62" i="6"/>
  <c r="D63" i="6"/>
  <c r="E63" i="6" s="1"/>
  <c r="H62" i="6"/>
  <c r="D54" i="39"/>
  <c r="E54" i="39"/>
  <c r="H60" i="25"/>
  <c r="D61" i="25"/>
  <c r="E61" i="25" s="1"/>
  <c r="G60" i="25"/>
  <c r="D56" i="30"/>
  <c r="E56" i="30" s="1"/>
  <c r="H55" i="30"/>
  <c r="G55" i="30"/>
  <c r="D52" i="43"/>
  <c r="E52" i="43" s="1"/>
  <c r="D54" i="45"/>
  <c r="E54" i="45" s="1"/>
  <c r="G63" i="11"/>
  <c r="H63" i="11"/>
  <c r="D64" i="11"/>
  <c r="E64" i="11" s="1"/>
  <c r="H52" i="40"/>
  <c r="I52" i="40" s="1"/>
  <c r="H62" i="8"/>
  <c r="D63" i="8"/>
  <c r="E63" i="8" s="1"/>
  <c r="G62" i="8"/>
  <c r="D53" i="41"/>
  <c r="E53" i="41"/>
  <c r="G58" i="24"/>
  <c r="D59" i="24"/>
  <c r="E59" i="24" s="1"/>
  <c r="H58" i="24"/>
  <c r="H61" i="3"/>
  <c r="D62" i="3"/>
  <c r="E62" i="3" s="1"/>
  <c r="G61" i="3"/>
  <c r="H64" i="7"/>
  <c r="D65" i="7"/>
  <c r="G64" i="7"/>
  <c r="H53" i="38"/>
  <c r="I53" i="38" s="1"/>
  <c r="D53" i="42"/>
  <c r="E53" i="42"/>
  <c r="D55" i="37"/>
  <c r="E55" i="37" s="1"/>
  <c r="F53" i="46"/>
  <c r="B53" i="46"/>
  <c r="G135" i="13"/>
  <c r="D136" i="13"/>
  <c r="I60" i="54" l="1"/>
  <c r="G61" i="54"/>
  <c r="I61" i="54" s="1"/>
  <c r="D62" i="54"/>
  <c r="E62" i="55"/>
  <c r="F62" i="55" s="1"/>
  <c r="H62" i="55" s="1"/>
  <c r="B62" i="55"/>
  <c r="I139" i="55"/>
  <c r="H139" i="55"/>
  <c r="B140" i="55"/>
  <c r="E140" i="55"/>
  <c r="F140" i="55" s="1"/>
  <c r="B137" i="54"/>
  <c r="F137" i="54"/>
  <c r="H136" i="54"/>
  <c r="I136" i="54"/>
  <c r="G55" i="49"/>
  <c r="I55" i="49" s="1"/>
  <c r="H141" i="49"/>
  <c r="I141" i="49"/>
  <c r="E143" i="48"/>
  <c r="F143" i="48" s="1"/>
  <c r="B143" i="48"/>
  <c r="E142" i="49"/>
  <c r="F142" i="49" s="1"/>
  <c r="B142" i="49"/>
  <c r="I142" i="48"/>
  <c r="H142" i="48"/>
  <c r="F52" i="47"/>
  <c r="G52" i="47" s="1"/>
  <c r="B52" i="47"/>
  <c r="B52" i="48"/>
  <c r="F52" i="48"/>
  <c r="G52" i="48" s="1"/>
  <c r="D56" i="49"/>
  <c r="E56" i="49" s="1"/>
  <c r="H53" i="13"/>
  <c r="G53" i="13"/>
  <c r="D54" i="13"/>
  <c r="I60" i="22"/>
  <c r="I53" i="44"/>
  <c r="E54" i="44"/>
  <c r="F54" i="44" s="1"/>
  <c r="B54" i="44"/>
  <c r="I58" i="24"/>
  <c r="I62" i="6"/>
  <c r="I62" i="8"/>
  <c r="I56" i="31"/>
  <c r="I56" i="28"/>
  <c r="I61" i="4"/>
  <c r="I60" i="25"/>
  <c r="F58" i="27"/>
  <c r="B58" i="27"/>
  <c r="I63" i="11"/>
  <c r="I55" i="30"/>
  <c r="I65" i="10"/>
  <c r="I57" i="27"/>
  <c r="D54" i="46"/>
  <c r="B65" i="7"/>
  <c r="F62" i="3"/>
  <c r="B62" i="3"/>
  <c r="F59" i="24"/>
  <c r="B59" i="24"/>
  <c r="F52" i="43"/>
  <c r="H52" i="43" s="1"/>
  <c r="B52" i="43"/>
  <c r="B56" i="30"/>
  <c r="F56" i="30"/>
  <c r="G64" i="9"/>
  <c r="H64" i="9"/>
  <c r="D65" i="9"/>
  <c r="F54" i="38"/>
  <c r="G54" i="38" s="1"/>
  <c r="B54" i="38"/>
  <c r="B57" i="28"/>
  <c r="F57" i="28"/>
  <c r="I59" i="23"/>
  <c r="F53" i="42"/>
  <c r="B53" i="42"/>
  <c r="G53" i="46"/>
  <c r="I64" i="7"/>
  <c r="I61" i="3"/>
  <c r="F63" i="6"/>
  <c r="B63" i="6"/>
  <c r="F62" i="5"/>
  <c r="B62" i="5"/>
  <c r="F61" i="22"/>
  <c r="B61" i="22"/>
  <c r="F57" i="29"/>
  <c r="B57" i="29"/>
  <c r="H53" i="46"/>
  <c r="B55" i="37"/>
  <c r="F55" i="37"/>
  <c r="H55" i="37" s="1"/>
  <c r="E65" i="7"/>
  <c r="F65" i="7" s="1"/>
  <c r="F63" i="8"/>
  <c r="B63" i="8"/>
  <c r="B64" i="11"/>
  <c r="F64" i="11"/>
  <c r="F54" i="45"/>
  <c r="G54" i="45" s="1"/>
  <c r="B54" i="45"/>
  <c r="B54" i="39"/>
  <c r="F54" i="39"/>
  <c r="G54" i="39" s="1"/>
  <c r="I56" i="29"/>
  <c r="F53" i="41"/>
  <c r="B53" i="41"/>
  <c r="F61" i="25"/>
  <c r="B61" i="25"/>
  <c r="B62" i="4"/>
  <c r="F62" i="4"/>
  <c r="F57" i="31"/>
  <c r="B57" i="31"/>
  <c r="B60" i="23"/>
  <c r="F60" i="23"/>
  <c r="B53" i="40"/>
  <c r="F53" i="40"/>
  <c r="G53" i="40" s="1"/>
  <c r="B66" i="10"/>
  <c r="F66" i="10"/>
  <c r="B136" i="13"/>
  <c r="E136" i="13"/>
  <c r="F136" i="13" s="1"/>
  <c r="H135" i="13"/>
  <c r="I135" i="13"/>
  <c r="G62" i="55" l="1"/>
  <c r="I62" i="55" s="1"/>
  <c r="D63" i="55"/>
  <c r="E63" i="55" s="1"/>
  <c r="F63" i="55" s="1"/>
  <c r="E62" i="54"/>
  <c r="F62" i="54" s="1"/>
  <c r="G62" i="54" s="1"/>
  <c r="B62" i="54"/>
  <c r="G140" i="55"/>
  <c r="D141" i="55"/>
  <c r="B141" i="55" s="1"/>
  <c r="D138" i="54"/>
  <c r="E138" i="54" s="1"/>
  <c r="G137" i="54"/>
  <c r="H52" i="47"/>
  <c r="I52" i="47" s="1"/>
  <c r="D144" i="48"/>
  <c r="G143" i="48"/>
  <c r="D143" i="49"/>
  <c r="G142" i="49"/>
  <c r="H52" i="48"/>
  <c r="I52" i="48" s="1"/>
  <c r="D53" i="48"/>
  <c r="E53" i="48"/>
  <c r="B56" i="49"/>
  <c r="F56" i="49"/>
  <c r="D57" i="49" s="1"/>
  <c r="D53" i="47"/>
  <c r="E53" i="47" s="1"/>
  <c r="I53" i="13"/>
  <c r="E54" i="13"/>
  <c r="F54" i="13" s="1"/>
  <c r="B54" i="13"/>
  <c r="G54" i="44"/>
  <c r="H54" i="44"/>
  <c r="D55" i="44"/>
  <c r="G55" i="37"/>
  <c r="I55" i="37" s="1"/>
  <c r="I64" i="9"/>
  <c r="G52" i="43"/>
  <c r="I52" i="43" s="1"/>
  <c r="I53" i="46"/>
  <c r="H54" i="38"/>
  <c r="I54" i="38" s="1"/>
  <c r="H54" i="39"/>
  <c r="I54" i="39" s="1"/>
  <c r="D59" i="27"/>
  <c r="E59" i="27" s="1"/>
  <c r="G58" i="27"/>
  <c r="H58" i="27"/>
  <c r="D66" i="7"/>
  <c r="E66" i="7" s="1"/>
  <c r="G65" i="7"/>
  <c r="H65" i="7"/>
  <c r="G57" i="31"/>
  <c r="D58" i="31"/>
  <c r="E58" i="31" s="1"/>
  <c r="H57" i="31"/>
  <c r="D62" i="25"/>
  <c r="E62" i="25" s="1"/>
  <c r="G61" i="25"/>
  <c r="H61" i="25"/>
  <c r="D54" i="41"/>
  <c r="E54" i="41" s="1"/>
  <c r="H61" i="22"/>
  <c r="D62" i="22"/>
  <c r="E62" i="22" s="1"/>
  <c r="G61" i="22"/>
  <c r="H63" i="6"/>
  <c r="G63" i="6"/>
  <c r="D64" i="6"/>
  <c r="E64" i="6" s="1"/>
  <c r="D54" i="42"/>
  <c r="E54" i="42" s="1"/>
  <c r="B65" i="9"/>
  <c r="G60" i="23"/>
  <c r="H60" i="23"/>
  <c r="D61" i="23"/>
  <c r="E61" i="23" s="1"/>
  <c r="G62" i="4"/>
  <c r="H62" i="4"/>
  <c r="D63" i="4"/>
  <c r="E63" i="4" s="1"/>
  <c r="E65" i="9"/>
  <c r="F65" i="9" s="1"/>
  <c r="H59" i="24"/>
  <c r="G59" i="24"/>
  <c r="D60" i="24"/>
  <c r="E60" i="24" s="1"/>
  <c r="D54" i="40"/>
  <c r="E54" i="40" s="1"/>
  <c r="G53" i="41"/>
  <c r="D55" i="45"/>
  <c r="E55" i="45" s="1"/>
  <c r="G63" i="8"/>
  <c r="H63" i="8"/>
  <c r="D64" i="8"/>
  <c r="E64" i="8" s="1"/>
  <c r="D56" i="37"/>
  <c r="E56" i="37" s="1"/>
  <c r="H57" i="29"/>
  <c r="D58" i="29"/>
  <c r="E58" i="29" s="1"/>
  <c r="G57" i="29"/>
  <c r="D63" i="5"/>
  <c r="E63" i="5" s="1"/>
  <c r="H62" i="5"/>
  <c r="G62" i="5"/>
  <c r="G53" i="42"/>
  <c r="G57" i="28"/>
  <c r="H57" i="28"/>
  <c r="D58" i="28"/>
  <c r="E58" i="28" s="1"/>
  <c r="G56" i="30"/>
  <c r="H56" i="30"/>
  <c r="D57" i="30"/>
  <c r="E57" i="30" s="1"/>
  <c r="B54" i="46"/>
  <c r="H66" i="10"/>
  <c r="D67" i="10"/>
  <c r="E67" i="10" s="1"/>
  <c r="G66" i="10"/>
  <c r="H53" i="40"/>
  <c r="I53" i="40" s="1"/>
  <c r="H53" i="41"/>
  <c r="D55" i="39"/>
  <c r="E55" i="39" s="1"/>
  <c r="H54" i="45"/>
  <c r="I54" i="45" s="1"/>
  <c r="G64" i="11"/>
  <c r="H64" i="11"/>
  <c r="D65" i="11"/>
  <c r="E65" i="11" s="1"/>
  <c r="H53" i="42"/>
  <c r="D55" i="38"/>
  <c r="E55" i="38"/>
  <c r="D53" i="43"/>
  <c r="E53" i="43" s="1"/>
  <c r="D63" i="3"/>
  <c r="E63" i="3" s="1"/>
  <c r="H62" i="3"/>
  <c r="G62" i="3"/>
  <c r="E54" i="46"/>
  <c r="F54" i="46" s="1"/>
  <c r="G136" i="13"/>
  <c r="D137" i="13"/>
  <c r="E141" i="55" l="1"/>
  <c r="F141" i="55" s="1"/>
  <c r="D63" i="54"/>
  <c r="E63" i="54" s="1"/>
  <c r="F63" i="54" s="1"/>
  <c r="D64" i="54" s="1"/>
  <c r="D64" i="55"/>
  <c r="E64" i="55" s="1"/>
  <c r="F64" i="55" s="1"/>
  <c r="B63" i="55"/>
  <c r="G63" i="55"/>
  <c r="H63" i="55"/>
  <c r="H62" i="54"/>
  <c r="I62" i="54" s="1"/>
  <c r="H137" i="54"/>
  <c r="I137" i="54"/>
  <c r="F138" i="54"/>
  <c r="B138" i="54"/>
  <c r="G141" i="55"/>
  <c r="D142" i="55"/>
  <c r="I140" i="55"/>
  <c r="H140" i="55"/>
  <c r="G56" i="49"/>
  <c r="E143" i="49"/>
  <c r="F143" i="49" s="1"/>
  <c r="B143" i="49"/>
  <c r="I142" i="49"/>
  <c r="H142" i="49"/>
  <c r="I143" i="48"/>
  <c r="H143" i="48"/>
  <c r="E144" i="48"/>
  <c r="F144" i="48" s="1"/>
  <c r="B144" i="48"/>
  <c r="E57" i="49"/>
  <c r="F57" i="49" s="1"/>
  <c r="B57" i="49"/>
  <c r="B53" i="47"/>
  <c r="F53" i="47"/>
  <c r="H56" i="49"/>
  <c r="F53" i="48"/>
  <c r="H53" i="48" s="1"/>
  <c r="B53" i="48"/>
  <c r="H54" i="13"/>
  <c r="D55" i="13"/>
  <c r="G54" i="13"/>
  <c r="I53" i="41"/>
  <c r="I54" i="44"/>
  <c r="E55" i="44"/>
  <c r="F55" i="44" s="1"/>
  <c r="B55" i="44"/>
  <c r="I62" i="4"/>
  <c r="I60" i="23"/>
  <c r="I53" i="42"/>
  <c r="I57" i="31"/>
  <c r="I65" i="7"/>
  <c r="I57" i="29"/>
  <c r="B59" i="27"/>
  <c r="F59" i="27"/>
  <c r="I56" i="30"/>
  <c r="I57" i="28"/>
  <c r="I63" i="6"/>
  <c r="I61" i="25"/>
  <c r="I58" i="27"/>
  <c r="G65" i="9"/>
  <c r="H65" i="9"/>
  <c r="D66" i="9"/>
  <c r="D55" i="46"/>
  <c r="G54" i="46"/>
  <c r="H54" i="46"/>
  <c r="I64" i="11"/>
  <c r="F55" i="39"/>
  <c r="B55" i="39"/>
  <c r="I66" i="10"/>
  <c r="F58" i="29"/>
  <c r="B58" i="29"/>
  <c r="F54" i="40"/>
  <c r="H54" i="40" s="1"/>
  <c r="B54" i="40"/>
  <c r="I59" i="24"/>
  <c r="F62" i="22"/>
  <c r="B62" i="22"/>
  <c r="B53" i="43"/>
  <c r="F53" i="43"/>
  <c r="H53" i="43" s="1"/>
  <c r="B63" i="5"/>
  <c r="F63" i="5"/>
  <c r="B64" i="8"/>
  <c r="F64" i="8"/>
  <c r="F55" i="45"/>
  <c r="B55" i="45"/>
  <c r="F54" i="42"/>
  <c r="G54" i="42" s="1"/>
  <c r="B54" i="42"/>
  <c r="I61" i="22"/>
  <c r="I62" i="3"/>
  <c r="F57" i="30"/>
  <c r="B57" i="30"/>
  <c r="B58" i="28"/>
  <c r="F58" i="28"/>
  <c r="B56" i="37"/>
  <c r="F56" i="37"/>
  <c r="G56" i="37" s="1"/>
  <c r="I63" i="8"/>
  <c r="B60" i="24"/>
  <c r="F60" i="24"/>
  <c r="F63" i="4"/>
  <c r="B63" i="4"/>
  <c r="F61" i="23"/>
  <c r="B61" i="23"/>
  <c r="B58" i="31"/>
  <c r="F58" i="31"/>
  <c r="B63" i="3"/>
  <c r="F63" i="3"/>
  <c r="B55" i="38"/>
  <c r="F55" i="38"/>
  <c r="G55" i="38" s="1"/>
  <c r="B65" i="11"/>
  <c r="F65" i="11"/>
  <c r="F67" i="10"/>
  <c r="B67" i="10"/>
  <c r="B64" i="6"/>
  <c r="F64" i="6"/>
  <c r="B54" i="41"/>
  <c r="F54" i="41"/>
  <c r="H54" i="41" s="1"/>
  <c r="B62" i="25"/>
  <c r="F62" i="25"/>
  <c r="F66" i="7"/>
  <c r="B66" i="7"/>
  <c r="B137" i="13"/>
  <c r="H136" i="13"/>
  <c r="I136" i="13"/>
  <c r="E137" i="13"/>
  <c r="F137" i="13" s="1"/>
  <c r="I56" i="49" l="1"/>
  <c r="I63" i="55"/>
  <c r="G64" i="55"/>
  <c r="D65" i="55"/>
  <c r="E65" i="55" s="1"/>
  <c r="F65" i="55" s="1"/>
  <c r="D66" i="55" s="1"/>
  <c r="B64" i="55"/>
  <c r="H64" i="55"/>
  <c r="I64" i="55" s="1"/>
  <c r="E64" i="54"/>
  <c r="F64" i="54" s="1"/>
  <c r="B64" i="54"/>
  <c r="B63" i="54"/>
  <c r="G63" i="54"/>
  <c r="H63" i="54"/>
  <c r="E142" i="55"/>
  <c r="F142" i="55" s="1"/>
  <c r="B142" i="55"/>
  <c r="H141" i="55"/>
  <c r="I141" i="55"/>
  <c r="D139" i="54"/>
  <c r="E139" i="54" s="1"/>
  <c r="G138" i="54"/>
  <c r="I54" i="13"/>
  <c r="G144" i="48"/>
  <c r="D145" i="48"/>
  <c r="G143" i="49"/>
  <c r="D144" i="49"/>
  <c r="D54" i="47"/>
  <c r="E54" i="47" s="1"/>
  <c r="D58" i="49"/>
  <c r="E58" i="49" s="1"/>
  <c r="H53" i="47"/>
  <c r="H57" i="49"/>
  <c r="G53" i="48"/>
  <c r="I53" i="48" s="1"/>
  <c r="D54" i="48"/>
  <c r="E54" i="48" s="1"/>
  <c r="G53" i="47"/>
  <c r="G57" i="49"/>
  <c r="E55" i="13"/>
  <c r="F55" i="13" s="1"/>
  <c r="B55" i="13"/>
  <c r="H55" i="44"/>
  <c r="D56" i="44"/>
  <c r="G55" i="44"/>
  <c r="I54" i="46"/>
  <c r="I65" i="9"/>
  <c r="G54" i="41"/>
  <c r="I54" i="41" s="1"/>
  <c r="H56" i="37"/>
  <c r="I56" i="37" s="1"/>
  <c r="H55" i="38"/>
  <c r="I55" i="38" s="1"/>
  <c r="G59" i="27"/>
  <c r="H59" i="27"/>
  <c r="D60" i="27"/>
  <c r="E60" i="27" s="1"/>
  <c r="H63" i="4"/>
  <c r="D64" i="4"/>
  <c r="G63" i="4"/>
  <c r="D56" i="45"/>
  <c r="E56" i="45" s="1"/>
  <c r="D56" i="39"/>
  <c r="E56" i="39" s="1"/>
  <c r="B66" i="9"/>
  <c r="D67" i="7"/>
  <c r="G66" i="7"/>
  <c r="H66" i="7"/>
  <c r="H62" i="25"/>
  <c r="D63" i="25"/>
  <c r="E63" i="25" s="1"/>
  <c r="G62" i="25"/>
  <c r="D56" i="38"/>
  <c r="E56" i="38" s="1"/>
  <c r="H63" i="3"/>
  <c r="G63" i="3"/>
  <c r="D64" i="3"/>
  <c r="E64" i="3" s="1"/>
  <c r="G57" i="30"/>
  <c r="D58" i="30"/>
  <c r="E58" i="30" s="1"/>
  <c r="H57" i="30"/>
  <c r="G55" i="45"/>
  <c r="H64" i="8"/>
  <c r="D65" i="8"/>
  <c r="G64" i="8"/>
  <c r="D59" i="29"/>
  <c r="E59" i="29" s="1"/>
  <c r="G58" i="29"/>
  <c r="H58" i="29"/>
  <c r="G55" i="39"/>
  <c r="E66" i="9"/>
  <c r="F66" i="9" s="1"/>
  <c r="G67" i="10"/>
  <c r="H67" i="10"/>
  <c r="D68" i="10"/>
  <c r="G61" i="23"/>
  <c r="H61" i="23"/>
  <c r="D62" i="23"/>
  <c r="E62" i="23" s="1"/>
  <c r="D57" i="37"/>
  <c r="E57" i="37" s="1"/>
  <c r="G58" i="28"/>
  <c r="H58" i="28"/>
  <c r="D59" i="28"/>
  <c r="E59" i="28" s="1"/>
  <c r="D55" i="42"/>
  <c r="E55" i="42" s="1"/>
  <c r="D54" i="43"/>
  <c r="E54" i="43" s="1"/>
  <c r="D63" i="22"/>
  <c r="E63" i="22" s="1"/>
  <c r="G62" i="22"/>
  <c r="H62" i="22"/>
  <c r="D55" i="40"/>
  <c r="E55" i="40" s="1"/>
  <c r="H55" i="39"/>
  <c r="B55" i="46"/>
  <c r="D55" i="41"/>
  <c r="E55" i="41" s="1"/>
  <c r="H64" i="6"/>
  <c r="D65" i="6"/>
  <c r="E65" i="6" s="1"/>
  <c r="G64" i="6"/>
  <c r="D66" i="11"/>
  <c r="E66" i="11" s="1"/>
  <c r="G65" i="11"/>
  <c r="H65" i="11"/>
  <c r="H58" i="31"/>
  <c r="G58" i="31"/>
  <c r="D59" i="31"/>
  <c r="E59" i="31" s="1"/>
  <c r="G60" i="24"/>
  <c r="D61" i="24"/>
  <c r="E61" i="24" s="1"/>
  <c r="H60" i="24"/>
  <c r="H54" i="42"/>
  <c r="I54" i="42" s="1"/>
  <c r="H55" i="45"/>
  <c r="D64" i="5"/>
  <c r="E64" i="5" s="1"/>
  <c r="G63" i="5"/>
  <c r="H63" i="5"/>
  <c r="G53" i="43"/>
  <c r="I53" i="43" s="1"/>
  <c r="G54" i="40"/>
  <c r="I54" i="40" s="1"/>
  <c r="E55" i="46"/>
  <c r="F55" i="46" s="1"/>
  <c r="G137" i="13"/>
  <c r="D138" i="13"/>
  <c r="I63" i="54" l="1"/>
  <c r="H64" i="54"/>
  <c r="D65" i="54"/>
  <c r="G64" i="54"/>
  <c r="I64" i="54" s="1"/>
  <c r="E66" i="55"/>
  <c r="B66" i="55"/>
  <c r="F66" i="55"/>
  <c r="H66" i="55" s="1"/>
  <c r="B65" i="55"/>
  <c r="H65" i="55"/>
  <c r="G65" i="55"/>
  <c r="H138" i="54"/>
  <c r="I138" i="54"/>
  <c r="G142" i="55"/>
  <c r="D143" i="55"/>
  <c r="B139" i="54"/>
  <c r="F139" i="54"/>
  <c r="I143" i="49"/>
  <c r="H143" i="49"/>
  <c r="E145" i="48"/>
  <c r="F145" i="48" s="1"/>
  <c r="B145" i="48"/>
  <c r="E144" i="49"/>
  <c r="F144" i="49" s="1"/>
  <c r="B144" i="49"/>
  <c r="H144" i="48"/>
  <c r="I144" i="48"/>
  <c r="I57" i="49"/>
  <c r="I53" i="47"/>
  <c r="F54" i="47"/>
  <c r="H54" i="47" s="1"/>
  <c r="B54" i="47"/>
  <c r="F54" i="48"/>
  <c r="H54" i="48" s="1"/>
  <c r="B54" i="48"/>
  <c r="F58" i="49"/>
  <c r="G58" i="49" s="1"/>
  <c r="B58" i="49"/>
  <c r="G55" i="13"/>
  <c r="D56" i="13"/>
  <c r="H55" i="13"/>
  <c r="I55" i="44"/>
  <c r="E56" i="44"/>
  <c r="F56" i="44" s="1"/>
  <c r="B56" i="44"/>
  <c r="I61" i="23"/>
  <c r="I55" i="45"/>
  <c r="I60" i="24"/>
  <c r="I67" i="10"/>
  <c r="I59" i="27"/>
  <c r="I58" i="31"/>
  <c r="I63" i="3"/>
  <c r="I62" i="25"/>
  <c r="I58" i="28"/>
  <c r="I57" i="30"/>
  <c r="I64" i="6"/>
  <c r="B60" i="27"/>
  <c r="F60" i="27"/>
  <c r="G66" i="9"/>
  <c r="H66" i="9"/>
  <c r="D67" i="9"/>
  <c r="E67" i="9" s="1"/>
  <c r="D56" i="46"/>
  <c r="E56" i="46" s="1"/>
  <c r="G55" i="46"/>
  <c r="H55" i="46"/>
  <c r="F66" i="11"/>
  <c r="B66" i="11"/>
  <c r="F62" i="23"/>
  <c r="B62" i="23"/>
  <c r="B68" i="10"/>
  <c r="F63" i="25"/>
  <c r="B63" i="25"/>
  <c r="B55" i="40"/>
  <c r="F55" i="40"/>
  <c r="H55" i="40" s="1"/>
  <c r="B63" i="22"/>
  <c r="F63" i="22"/>
  <c r="B59" i="28"/>
  <c r="F59" i="28"/>
  <c r="B57" i="37"/>
  <c r="F57" i="37"/>
  <c r="B59" i="29"/>
  <c r="F59" i="29"/>
  <c r="B65" i="8"/>
  <c r="F64" i="3"/>
  <c r="B64" i="3"/>
  <c r="B56" i="38"/>
  <c r="F56" i="38"/>
  <c r="G56" i="38" s="1"/>
  <c r="B67" i="7"/>
  <c r="F56" i="39"/>
  <c r="H56" i="39" s="1"/>
  <c r="B56" i="39"/>
  <c r="B64" i="4"/>
  <c r="B61" i="24"/>
  <c r="F61" i="24"/>
  <c r="F59" i="31"/>
  <c r="B59" i="31"/>
  <c r="I65" i="11"/>
  <c r="B55" i="41"/>
  <c r="F55" i="41"/>
  <c r="H55" i="41" s="1"/>
  <c r="E68" i="10"/>
  <c r="F68" i="10" s="1"/>
  <c r="I64" i="8"/>
  <c r="F58" i="30"/>
  <c r="B58" i="30"/>
  <c r="E67" i="7"/>
  <c r="F67" i="7" s="1"/>
  <c r="I63" i="4"/>
  <c r="B64" i="5"/>
  <c r="F64" i="5"/>
  <c r="F65" i="6"/>
  <c r="B65" i="6"/>
  <c r="I55" i="39"/>
  <c r="I62" i="22"/>
  <c r="F54" i="43"/>
  <c r="H54" i="43" s="1"/>
  <c r="B54" i="43"/>
  <c r="B55" i="42"/>
  <c r="F55" i="42"/>
  <c r="G55" i="42" s="1"/>
  <c r="I58" i="29"/>
  <c r="E65" i="8"/>
  <c r="F65" i="8" s="1"/>
  <c r="I66" i="7"/>
  <c r="B56" i="45"/>
  <c r="F56" i="45"/>
  <c r="H56" i="45" s="1"/>
  <c r="E64" i="4"/>
  <c r="F64" i="4" s="1"/>
  <c r="B138" i="13"/>
  <c r="H137" i="13"/>
  <c r="I137" i="13"/>
  <c r="E138" i="13"/>
  <c r="F138" i="13" s="1"/>
  <c r="G66" i="55" l="1"/>
  <c r="D67" i="55"/>
  <c r="I66" i="55"/>
  <c r="E65" i="54"/>
  <c r="B65" i="54"/>
  <c r="F65" i="54"/>
  <c r="H65" i="54" s="1"/>
  <c r="I65" i="55"/>
  <c r="D140" i="54"/>
  <c r="E140" i="54" s="1"/>
  <c r="G139" i="54"/>
  <c r="E143" i="55"/>
  <c r="F143" i="55" s="1"/>
  <c r="B143" i="55"/>
  <c r="H142" i="55"/>
  <c r="I142" i="55"/>
  <c r="H58" i="49"/>
  <c r="I58" i="49" s="1"/>
  <c r="I55" i="13"/>
  <c r="D146" i="48"/>
  <c r="G145" i="48"/>
  <c r="G144" i="49"/>
  <c r="D145" i="49"/>
  <c r="B145" i="49" s="1"/>
  <c r="D55" i="47"/>
  <c r="E55" i="47" s="1"/>
  <c r="D55" i="48"/>
  <c r="E55" i="48" s="1"/>
  <c r="G54" i="48"/>
  <c r="I54" i="48" s="1"/>
  <c r="G54" i="47"/>
  <c r="I54" i="47" s="1"/>
  <c r="D59" i="49"/>
  <c r="E59" i="49" s="1"/>
  <c r="E56" i="13"/>
  <c r="F56" i="13" s="1"/>
  <c r="G56" i="13" s="1"/>
  <c r="B56" i="13"/>
  <c r="I55" i="46"/>
  <c r="I66" i="9"/>
  <c r="D57" i="44"/>
  <c r="G56" i="44"/>
  <c r="H56" i="44"/>
  <c r="G56" i="39"/>
  <c r="I56" i="39" s="1"/>
  <c r="G56" i="45"/>
  <c r="I56" i="45" s="1"/>
  <c r="G54" i="43"/>
  <c r="I54" i="43" s="1"/>
  <c r="G60" i="27"/>
  <c r="H60" i="27"/>
  <c r="D61" i="27"/>
  <c r="H64" i="4"/>
  <c r="D65" i="4"/>
  <c r="E65" i="4" s="1"/>
  <c r="G64" i="4"/>
  <c r="D68" i="7"/>
  <c r="E68" i="7" s="1"/>
  <c r="G67" i="7"/>
  <c r="H67" i="7"/>
  <c r="H68" i="10"/>
  <c r="D69" i="10"/>
  <c r="E69" i="10" s="1"/>
  <c r="G68" i="10"/>
  <c r="H65" i="8"/>
  <c r="D66" i="8"/>
  <c r="E66" i="8" s="1"/>
  <c r="G65" i="8"/>
  <c r="G61" i="24"/>
  <c r="D62" i="24"/>
  <c r="E62" i="24" s="1"/>
  <c r="H61" i="24"/>
  <c r="D58" i="37"/>
  <c r="E58" i="37" s="1"/>
  <c r="G59" i="28"/>
  <c r="H59" i="28"/>
  <c r="D60" i="28"/>
  <c r="E60" i="28" s="1"/>
  <c r="D56" i="42"/>
  <c r="E56" i="42" s="1"/>
  <c r="G58" i="30"/>
  <c r="H58" i="30"/>
  <c r="D59" i="30"/>
  <c r="E59" i="30" s="1"/>
  <c r="D56" i="41"/>
  <c r="E56" i="41" s="1"/>
  <c r="H56" i="38"/>
  <c r="I56" i="38" s="1"/>
  <c r="G57" i="37"/>
  <c r="D56" i="40"/>
  <c r="E56" i="40" s="1"/>
  <c r="H63" i="25"/>
  <c r="D64" i="25"/>
  <c r="E64" i="25" s="1"/>
  <c r="G63" i="25"/>
  <c r="H62" i="23"/>
  <c r="G62" i="23"/>
  <c r="D63" i="23"/>
  <c r="E63" i="23" s="1"/>
  <c r="F67" i="9"/>
  <c r="B67" i="9"/>
  <c r="D57" i="45"/>
  <c r="E57" i="45" s="1"/>
  <c r="D55" i="43"/>
  <c r="E55" i="43" s="1"/>
  <c r="D66" i="6"/>
  <c r="E66" i="6" s="1"/>
  <c r="H65" i="6"/>
  <c r="G65" i="6"/>
  <c r="G55" i="41"/>
  <c r="I55" i="41" s="1"/>
  <c r="D57" i="39"/>
  <c r="E57" i="39" s="1"/>
  <c r="H59" i="29"/>
  <c r="D60" i="29"/>
  <c r="E60" i="29" s="1"/>
  <c r="G59" i="29"/>
  <c r="H57" i="37"/>
  <c r="D64" i="22"/>
  <c r="E64" i="22" s="1"/>
  <c r="G63" i="22"/>
  <c r="H63" i="22"/>
  <c r="H55" i="42"/>
  <c r="I55" i="42" s="1"/>
  <c r="D65" i="5"/>
  <c r="E65" i="5" s="1"/>
  <c r="H64" i="5"/>
  <c r="G64" i="5"/>
  <c r="G59" i="31"/>
  <c r="D60" i="31"/>
  <c r="E60" i="31" s="1"/>
  <c r="H59" i="31"/>
  <c r="D57" i="38"/>
  <c r="E57" i="38" s="1"/>
  <c r="G64" i="3"/>
  <c r="H64" i="3"/>
  <c r="D65" i="3"/>
  <c r="E65" i="3" s="1"/>
  <c r="G55" i="40"/>
  <c r="I55" i="40" s="1"/>
  <c r="D67" i="11"/>
  <c r="E67" i="11" s="1"/>
  <c r="G66" i="11"/>
  <c r="H66" i="11"/>
  <c r="F56" i="46"/>
  <c r="H56" i="46" s="1"/>
  <c r="B56" i="46"/>
  <c r="G138" i="13"/>
  <c r="D139" i="13"/>
  <c r="E139" i="13" s="1"/>
  <c r="G65" i="54" l="1"/>
  <c r="I65" i="54" s="1"/>
  <c r="D66" i="54"/>
  <c r="E67" i="55"/>
  <c r="F67" i="55" s="1"/>
  <c r="G67" i="55" s="1"/>
  <c r="B67" i="55"/>
  <c r="G143" i="55"/>
  <c r="D144" i="55"/>
  <c r="B144" i="55" s="1"/>
  <c r="H139" i="54"/>
  <c r="I139" i="54"/>
  <c r="B140" i="54"/>
  <c r="F140" i="54"/>
  <c r="E145" i="49"/>
  <c r="F145" i="49" s="1"/>
  <c r="G145" i="49" s="1"/>
  <c r="I144" i="49"/>
  <c r="H144" i="49"/>
  <c r="I145" i="48"/>
  <c r="H145" i="48"/>
  <c r="E146" i="48"/>
  <c r="F146" i="48" s="1"/>
  <c r="B146" i="48"/>
  <c r="F55" i="48"/>
  <c r="H55" i="48" s="1"/>
  <c r="B55" i="48"/>
  <c r="B55" i="47"/>
  <c r="F55" i="47"/>
  <c r="H55" i="47" s="1"/>
  <c r="F59" i="49"/>
  <c r="B59" i="49"/>
  <c r="I57" i="37"/>
  <c r="H56" i="13"/>
  <c r="I56" i="13" s="1"/>
  <c r="D57" i="13"/>
  <c r="I56" i="44"/>
  <c r="I58" i="30"/>
  <c r="E57" i="44"/>
  <c r="F57" i="44" s="1"/>
  <c r="B57" i="44"/>
  <c r="I60" i="27"/>
  <c r="I64" i="3"/>
  <c r="I62" i="23"/>
  <c r="I67" i="7"/>
  <c r="G56" i="46"/>
  <c r="I56" i="46" s="1"/>
  <c r="I63" i="25"/>
  <c r="I63" i="22"/>
  <c r="E61" i="27"/>
  <c r="F61" i="27" s="1"/>
  <c r="B61" i="27"/>
  <c r="I66" i="11"/>
  <c r="I59" i="31"/>
  <c r="I59" i="29"/>
  <c r="F64" i="25"/>
  <c r="B64" i="25"/>
  <c r="I61" i="24"/>
  <c r="D57" i="46"/>
  <c r="E57" i="46" s="1"/>
  <c r="B60" i="31"/>
  <c r="F60" i="31"/>
  <c r="B55" i="43"/>
  <c r="F55" i="43"/>
  <c r="G55" i="43" s="1"/>
  <c r="D68" i="9"/>
  <c r="E68" i="9" s="1"/>
  <c r="H67" i="9"/>
  <c r="G67" i="9"/>
  <c r="F59" i="30"/>
  <c r="B59" i="30"/>
  <c r="B56" i="42"/>
  <c r="F56" i="42"/>
  <c r="B58" i="37"/>
  <c r="F58" i="37"/>
  <c r="F62" i="24"/>
  <c r="B62" i="24"/>
  <c r="B67" i="11"/>
  <c r="F67" i="11"/>
  <c r="B65" i="3"/>
  <c r="F65" i="3"/>
  <c r="F57" i="38"/>
  <c r="G57" i="38" s="1"/>
  <c r="B57" i="38"/>
  <c r="B65" i="5"/>
  <c r="F65" i="5"/>
  <c r="B57" i="39"/>
  <c r="F57" i="39"/>
  <c r="G57" i="39" s="1"/>
  <c r="I65" i="6"/>
  <c r="B60" i="28"/>
  <c r="F60" i="28"/>
  <c r="F66" i="8"/>
  <c r="B66" i="8"/>
  <c r="F69" i="10"/>
  <c r="B69" i="10"/>
  <c r="B65" i="4"/>
  <c r="F65" i="4"/>
  <c r="B64" i="22"/>
  <c r="F64" i="22"/>
  <c r="B60" i="29"/>
  <c r="F60" i="29"/>
  <c r="F66" i="6"/>
  <c r="B66" i="6"/>
  <c r="B57" i="45"/>
  <c r="F57" i="45"/>
  <c r="F63" i="23"/>
  <c r="B63" i="23"/>
  <c r="F56" i="40"/>
  <c r="H56" i="40" s="1"/>
  <c r="B56" i="40"/>
  <c r="B56" i="41"/>
  <c r="F56" i="41"/>
  <c r="G56" i="41" s="1"/>
  <c r="I59" i="28"/>
  <c r="I65" i="8"/>
  <c r="I68" i="10"/>
  <c r="F68" i="7"/>
  <c r="B68" i="7"/>
  <c r="I64" i="4"/>
  <c r="I138" i="13"/>
  <c r="H138" i="13"/>
  <c r="B139" i="13"/>
  <c r="F139" i="13"/>
  <c r="E144" i="55" l="1"/>
  <c r="F144" i="55" s="1"/>
  <c r="H67" i="55"/>
  <c r="D68" i="55"/>
  <c r="E66" i="54"/>
  <c r="F66" i="54" s="1"/>
  <c r="G66" i="54" s="1"/>
  <c r="B66" i="54"/>
  <c r="I67" i="55"/>
  <c r="D141" i="54"/>
  <c r="G140" i="54"/>
  <c r="G144" i="55"/>
  <c r="D145" i="55"/>
  <c r="I143" i="55"/>
  <c r="H143" i="55"/>
  <c r="G55" i="48"/>
  <c r="I55" i="48" s="1"/>
  <c r="D146" i="49"/>
  <c r="B146" i="49" s="1"/>
  <c r="D147" i="48"/>
  <c r="G146" i="48"/>
  <c r="H145" i="49"/>
  <c r="I145" i="49"/>
  <c r="D60" i="49"/>
  <c r="E60" i="49" s="1"/>
  <c r="F60" i="49" s="1"/>
  <c r="D61" i="49" s="1"/>
  <c r="G59" i="49"/>
  <c r="H59" i="49"/>
  <c r="G55" i="47"/>
  <c r="I55" i="47" s="1"/>
  <c r="D56" i="47"/>
  <c r="E56" i="47" s="1"/>
  <c r="D56" i="48"/>
  <c r="E56" i="48" s="1"/>
  <c r="E57" i="13"/>
  <c r="F57" i="13" s="1"/>
  <c r="B57" i="13"/>
  <c r="H57" i="44"/>
  <c r="D58" i="44"/>
  <c r="G57" i="44"/>
  <c r="H61" i="27"/>
  <c r="D62" i="27"/>
  <c r="B62" i="27" s="1"/>
  <c r="G61" i="27"/>
  <c r="H56" i="41"/>
  <c r="I56" i="41" s="1"/>
  <c r="G56" i="40"/>
  <c r="I56" i="40" s="1"/>
  <c r="D58" i="45"/>
  <c r="E58" i="45" s="1"/>
  <c r="G66" i="8"/>
  <c r="H66" i="8"/>
  <c r="D67" i="8"/>
  <c r="E67" i="8" s="1"/>
  <c r="D66" i="5"/>
  <c r="H65" i="5"/>
  <c r="G65" i="5"/>
  <c r="D68" i="11"/>
  <c r="G67" i="11"/>
  <c r="H67" i="11"/>
  <c r="D59" i="37"/>
  <c r="E59" i="37" s="1"/>
  <c r="D57" i="42"/>
  <c r="E57" i="42" s="1"/>
  <c r="D61" i="31"/>
  <c r="E61" i="31" s="1"/>
  <c r="H60" i="31"/>
  <c r="G60" i="31"/>
  <c r="D57" i="40"/>
  <c r="E57" i="40" s="1"/>
  <c r="H57" i="45"/>
  <c r="G64" i="22"/>
  <c r="H64" i="22"/>
  <c r="D65" i="22"/>
  <c r="E65" i="22" s="1"/>
  <c r="D61" i="28"/>
  <c r="E61" i="28" s="1"/>
  <c r="G60" i="28"/>
  <c r="H60" i="28"/>
  <c r="D58" i="39"/>
  <c r="E58" i="39" s="1"/>
  <c r="D58" i="38"/>
  <c r="E58" i="38" s="1"/>
  <c r="H58" i="37"/>
  <c r="H56" i="42"/>
  <c r="D60" i="30"/>
  <c r="E60" i="30" s="1"/>
  <c r="H59" i="30"/>
  <c r="G59" i="30"/>
  <c r="B68" i="9"/>
  <c r="F68" i="9"/>
  <c r="D56" i="43"/>
  <c r="E56" i="43" s="1"/>
  <c r="H68" i="7"/>
  <c r="D69" i="7"/>
  <c r="G68" i="7"/>
  <c r="G57" i="45"/>
  <c r="G66" i="6"/>
  <c r="D67" i="6"/>
  <c r="E67" i="6" s="1"/>
  <c r="H66" i="6"/>
  <c r="D70" i="10"/>
  <c r="G69" i="10"/>
  <c r="H69" i="10"/>
  <c r="H57" i="39"/>
  <c r="I57" i="39" s="1"/>
  <c r="H57" i="38"/>
  <c r="I57" i="38" s="1"/>
  <c r="H65" i="3"/>
  <c r="D66" i="3"/>
  <c r="G65" i="3"/>
  <c r="G58" i="37"/>
  <c r="G56" i="42"/>
  <c r="H55" i="43"/>
  <c r="I55" i="43" s="1"/>
  <c r="D57" i="41"/>
  <c r="E57" i="41" s="1"/>
  <c r="G63" i="23"/>
  <c r="H63" i="23"/>
  <c r="D64" i="23"/>
  <c r="E64" i="23" s="1"/>
  <c r="G60" i="29"/>
  <c r="H60" i="29"/>
  <c r="D61" i="29"/>
  <c r="E61" i="29" s="1"/>
  <c r="D66" i="4"/>
  <c r="G65" i="4"/>
  <c r="H65" i="4"/>
  <c r="D63" i="24"/>
  <c r="E63" i="24" s="1"/>
  <c r="G62" i="24"/>
  <c r="H62" i="24"/>
  <c r="I67" i="9"/>
  <c r="F57" i="46"/>
  <c r="H57" i="46" s="1"/>
  <c r="B57" i="46"/>
  <c r="G64" i="25"/>
  <c r="H64" i="25"/>
  <c r="D65" i="25"/>
  <c r="E65" i="25" s="1"/>
  <c r="G139" i="13"/>
  <c r="D140" i="13"/>
  <c r="E140" i="13" s="1"/>
  <c r="H66" i="54" l="1"/>
  <c r="I66" i="54" s="1"/>
  <c r="D67" i="54"/>
  <c r="E67" i="54" s="1"/>
  <c r="E68" i="55"/>
  <c r="B68" i="55"/>
  <c r="F68" i="55"/>
  <c r="D69" i="55" s="1"/>
  <c r="E145" i="55"/>
  <c r="F145" i="55" s="1"/>
  <c r="B145" i="55"/>
  <c r="I144" i="55"/>
  <c r="H144" i="55"/>
  <c r="H140" i="54"/>
  <c r="I140" i="54"/>
  <c r="E141" i="54"/>
  <c r="F141" i="54" s="1"/>
  <c r="B141" i="54"/>
  <c r="E146" i="49"/>
  <c r="F146" i="49" s="1"/>
  <c r="I59" i="49"/>
  <c r="I146" i="48"/>
  <c r="H146" i="48"/>
  <c r="E147" i="48"/>
  <c r="B147" i="48"/>
  <c r="B56" i="47"/>
  <c r="F56" i="47"/>
  <c r="H56" i="47" s="1"/>
  <c r="E61" i="49"/>
  <c r="F61" i="49" s="1"/>
  <c r="H61" i="49" s="1"/>
  <c r="B61" i="49"/>
  <c r="F56" i="48"/>
  <c r="G56" i="48" s="1"/>
  <c r="B56" i="48"/>
  <c r="B60" i="49"/>
  <c r="G60" i="49"/>
  <c r="H60" i="49"/>
  <c r="H57" i="13"/>
  <c r="D58" i="13"/>
  <c r="G57" i="13"/>
  <c r="B58" i="44"/>
  <c r="E58" i="44"/>
  <c r="F58" i="44" s="1"/>
  <c r="I57" i="44"/>
  <c r="I65" i="4"/>
  <c r="I63" i="23"/>
  <c r="I66" i="8"/>
  <c r="I67" i="11"/>
  <c r="I61" i="27"/>
  <c r="I62" i="24"/>
  <c r="I60" i="29"/>
  <c r="I69" i="10"/>
  <c r="I64" i="22"/>
  <c r="E62" i="27"/>
  <c r="F62" i="27" s="1"/>
  <c r="B70" i="10"/>
  <c r="F56" i="43"/>
  <c r="B56" i="43"/>
  <c r="I58" i="37"/>
  <c r="F58" i="39"/>
  <c r="G58" i="39" s="1"/>
  <c r="B58" i="39"/>
  <c r="B61" i="28"/>
  <c r="F61" i="28"/>
  <c r="I60" i="31"/>
  <c r="F59" i="37"/>
  <c r="H59" i="37" s="1"/>
  <c r="B59" i="37"/>
  <c r="D58" i="46"/>
  <c r="B63" i="24"/>
  <c r="F63" i="24"/>
  <c r="B66" i="4"/>
  <c r="B66" i="3"/>
  <c r="B69" i="7"/>
  <c r="G68" i="9"/>
  <c r="H68" i="9"/>
  <c r="D69" i="9"/>
  <c r="I59" i="30"/>
  <c r="I57" i="45"/>
  <c r="B61" i="31"/>
  <c r="F61" i="31"/>
  <c r="B68" i="11"/>
  <c r="B66" i="5"/>
  <c r="F65" i="25"/>
  <c r="B65" i="25"/>
  <c r="I64" i="25"/>
  <c r="G57" i="46"/>
  <c r="I57" i="46" s="1"/>
  <c r="E66" i="4"/>
  <c r="F66" i="4" s="1"/>
  <c r="I65" i="3"/>
  <c r="I66" i="6"/>
  <c r="I68" i="7"/>
  <c r="F60" i="30"/>
  <c r="B60" i="30"/>
  <c r="B58" i="38"/>
  <c r="F58" i="38"/>
  <c r="H58" i="38" s="1"/>
  <c r="I60" i="28"/>
  <c r="B65" i="22"/>
  <c r="F65" i="22"/>
  <c r="E68" i="11"/>
  <c r="F68" i="11" s="1"/>
  <c r="E66" i="5"/>
  <c r="F66" i="5" s="1"/>
  <c r="B61" i="29"/>
  <c r="F61" i="29"/>
  <c r="F64" i="23"/>
  <c r="B64" i="23"/>
  <c r="B57" i="41"/>
  <c r="F57" i="41"/>
  <c r="E66" i="3"/>
  <c r="F66" i="3" s="1"/>
  <c r="E70" i="10"/>
  <c r="F70" i="10" s="1"/>
  <c r="F67" i="6"/>
  <c r="B67" i="6"/>
  <c r="E69" i="7"/>
  <c r="F69" i="7" s="1"/>
  <c r="I56" i="42"/>
  <c r="F57" i="40"/>
  <c r="G57" i="40" s="1"/>
  <c r="B57" i="40"/>
  <c r="B57" i="42"/>
  <c r="F57" i="42"/>
  <c r="G57" i="42" s="1"/>
  <c r="B67" i="8"/>
  <c r="F67" i="8"/>
  <c r="F58" i="45"/>
  <c r="G58" i="45" s="1"/>
  <c r="B58" i="45"/>
  <c r="H139" i="13"/>
  <c r="I139" i="13"/>
  <c r="F140" i="13"/>
  <c r="B140" i="13"/>
  <c r="H68" i="55" l="1"/>
  <c r="E69" i="55"/>
  <c r="B69" i="55"/>
  <c r="F69" i="55"/>
  <c r="B67" i="54"/>
  <c r="F67" i="54"/>
  <c r="G67" i="54" s="1"/>
  <c r="G68" i="55"/>
  <c r="I68" i="55" s="1"/>
  <c r="G141" i="54"/>
  <c r="D142" i="54"/>
  <c r="G145" i="55"/>
  <c r="D146" i="55"/>
  <c r="B146" i="55" s="1"/>
  <c r="I60" i="49"/>
  <c r="G56" i="47"/>
  <c r="I56" i="47" s="1"/>
  <c r="F147" i="48"/>
  <c r="D147" i="49"/>
  <c r="G146" i="49"/>
  <c r="G61" i="49"/>
  <c r="I61" i="49" s="1"/>
  <c r="D62" i="49"/>
  <c r="D57" i="47"/>
  <c r="E57" i="47" s="1"/>
  <c r="H56" i="48"/>
  <c r="I56" i="48" s="1"/>
  <c r="D57" i="48"/>
  <c r="E57" i="48" s="1"/>
  <c r="H58" i="45"/>
  <c r="I58" i="45" s="1"/>
  <c r="I57" i="13"/>
  <c r="B58" i="13"/>
  <c r="E58" i="13"/>
  <c r="F58" i="13" s="1"/>
  <c r="H57" i="40"/>
  <c r="I57" i="40" s="1"/>
  <c r="H58" i="44"/>
  <c r="D59" i="44"/>
  <c r="G58" i="44"/>
  <c r="I68" i="9"/>
  <c r="H57" i="42"/>
  <c r="I57" i="42" s="1"/>
  <c r="H58" i="39"/>
  <c r="I58" i="39" s="1"/>
  <c r="G59" i="37"/>
  <c r="I59" i="37" s="1"/>
  <c r="G58" i="38"/>
  <c r="I58" i="38" s="1"/>
  <c r="H62" i="27"/>
  <c r="D63" i="27"/>
  <c r="B63" i="27" s="1"/>
  <c r="G62" i="27"/>
  <c r="D67" i="3"/>
  <c r="E67" i="3" s="1"/>
  <c r="H66" i="3"/>
  <c r="G66" i="3"/>
  <c r="G66" i="5"/>
  <c r="D67" i="5"/>
  <c r="E67" i="5" s="1"/>
  <c r="H66" i="5"/>
  <c r="D67" i="4"/>
  <c r="E67" i="4" s="1"/>
  <c r="G66" i="4"/>
  <c r="H66" i="4"/>
  <c r="G69" i="7"/>
  <c r="H69" i="7"/>
  <c r="D70" i="7"/>
  <c r="E70" i="7" s="1"/>
  <c r="G68" i="11"/>
  <c r="H68" i="11"/>
  <c r="D69" i="11"/>
  <c r="E69" i="11" s="1"/>
  <c r="D71" i="10"/>
  <c r="E71" i="10" s="1"/>
  <c r="G70" i="10"/>
  <c r="H70" i="10"/>
  <c r="D58" i="41"/>
  <c r="E58" i="41" s="1"/>
  <c r="D62" i="31"/>
  <c r="E62" i="31" s="1"/>
  <c r="H61" i="31"/>
  <c r="G61" i="31"/>
  <c r="B69" i="9"/>
  <c r="B58" i="46"/>
  <c r="D57" i="43"/>
  <c r="E57" i="43" s="1"/>
  <c r="D58" i="40"/>
  <c r="E58" i="40" s="1"/>
  <c r="H67" i="6"/>
  <c r="D68" i="6"/>
  <c r="G67" i="6"/>
  <c r="H57" i="41"/>
  <c r="D65" i="23"/>
  <c r="E65" i="23" s="1"/>
  <c r="G64" i="23"/>
  <c r="H64" i="23"/>
  <c r="E69" i="9"/>
  <c r="F69" i="9" s="1"/>
  <c r="E58" i="46"/>
  <c r="F58" i="46" s="1"/>
  <c r="G56" i="43"/>
  <c r="G61" i="29"/>
  <c r="H61" i="29"/>
  <c r="D62" i="29"/>
  <c r="E62" i="29" s="1"/>
  <c r="D59" i="38"/>
  <c r="E59" i="38" s="1"/>
  <c r="D64" i="24"/>
  <c r="E64" i="24" s="1"/>
  <c r="H63" i="24"/>
  <c r="G63" i="24"/>
  <c r="H67" i="8"/>
  <c r="G67" i="8"/>
  <c r="D68" i="8"/>
  <c r="D59" i="45"/>
  <c r="E59" i="45" s="1"/>
  <c r="D58" i="42"/>
  <c r="E58" i="42" s="1"/>
  <c r="G57" i="41"/>
  <c r="H65" i="22"/>
  <c r="G65" i="22"/>
  <c r="D66" i="22"/>
  <c r="E66" i="22" s="1"/>
  <c r="D61" i="30"/>
  <c r="E61" i="30" s="1"/>
  <c r="G60" i="30"/>
  <c r="H60" i="30"/>
  <c r="D66" i="25"/>
  <c r="H65" i="25"/>
  <c r="G65" i="25"/>
  <c r="D60" i="37"/>
  <c r="E60" i="37" s="1"/>
  <c r="D62" i="28"/>
  <c r="E62" i="28" s="1"/>
  <c r="G61" i="28"/>
  <c r="H61" i="28"/>
  <c r="D59" i="39"/>
  <c r="E59" i="39" s="1"/>
  <c r="H56" i="43"/>
  <c r="D141" i="13"/>
  <c r="G140" i="13"/>
  <c r="H67" i="54" l="1"/>
  <c r="I67" i="54" s="1"/>
  <c r="D68" i="54"/>
  <c r="H69" i="55"/>
  <c r="D70" i="55"/>
  <c r="E70" i="55" s="1"/>
  <c r="F70" i="55" s="1"/>
  <c r="G69" i="55"/>
  <c r="E146" i="55"/>
  <c r="F146" i="55" s="1"/>
  <c r="H145" i="55"/>
  <c r="I145" i="55"/>
  <c r="E142" i="54"/>
  <c r="F142" i="54" s="1"/>
  <c r="B142" i="54"/>
  <c r="H141" i="54"/>
  <c r="I141" i="54"/>
  <c r="H146" i="49"/>
  <c r="I146" i="49"/>
  <c r="E147" i="49"/>
  <c r="B147" i="49"/>
  <c r="D148" i="48"/>
  <c r="B148" i="48" s="1"/>
  <c r="G147" i="48"/>
  <c r="F57" i="48"/>
  <c r="G57" i="48" s="1"/>
  <c r="B57" i="48"/>
  <c r="E62" i="49"/>
  <c r="F62" i="49" s="1"/>
  <c r="B62" i="49"/>
  <c r="B57" i="47"/>
  <c r="F57" i="47"/>
  <c r="I66" i="4"/>
  <c r="D59" i="13"/>
  <c r="G58" i="13"/>
  <c r="H58" i="13"/>
  <c r="E59" i="44"/>
  <c r="F59" i="44" s="1"/>
  <c r="B59" i="44"/>
  <c r="I58" i="44"/>
  <c r="I56" i="43"/>
  <c r="I61" i="29"/>
  <c r="I62" i="27"/>
  <c r="I65" i="25"/>
  <c r="E63" i="27"/>
  <c r="F63" i="27" s="1"/>
  <c r="I61" i="28"/>
  <c r="D59" i="46"/>
  <c r="E59" i="46" s="1"/>
  <c r="H58" i="46"/>
  <c r="G58" i="46"/>
  <c r="H69" i="9"/>
  <c r="D70" i="9"/>
  <c r="E70" i="9" s="1"/>
  <c r="G69" i="9"/>
  <c r="B60" i="37"/>
  <c r="F60" i="37"/>
  <c r="G60" i="37" s="1"/>
  <c r="B66" i="25"/>
  <c r="F61" i="30"/>
  <c r="B61" i="30"/>
  <c r="I65" i="22"/>
  <c r="B68" i="8"/>
  <c r="F59" i="38"/>
  <c r="H59" i="38" s="1"/>
  <c r="B59" i="38"/>
  <c r="B65" i="23"/>
  <c r="F65" i="23"/>
  <c r="B68" i="6"/>
  <c r="I61" i="31"/>
  <c r="I70" i="10"/>
  <c r="E66" i="25"/>
  <c r="F66" i="25" s="1"/>
  <c r="F59" i="45"/>
  <c r="H59" i="45" s="1"/>
  <c r="B59" i="45"/>
  <c r="I63" i="24"/>
  <c r="I57" i="41"/>
  <c r="I67" i="6"/>
  <c r="B62" i="31"/>
  <c r="F62" i="31"/>
  <c r="F69" i="11"/>
  <c r="B69" i="11"/>
  <c r="F70" i="7"/>
  <c r="B70" i="7"/>
  <c r="B59" i="39"/>
  <c r="F59" i="39"/>
  <c r="H59" i="39" s="1"/>
  <c r="B62" i="28"/>
  <c r="F62" i="28"/>
  <c r="I60" i="30"/>
  <c r="F66" i="22"/>
  <c r="B66" i="22"/>
  <c r="I67" i="8"/>
  <c r="B64" i="24"/>
  <c r="F64" i="24"/>
  <c r="B62" i="29"/>
  <c r="F62" i="29"/>
  <c r="I64" i="23"/>
  <c r="E68" i="6"/>
  <c r="F68" i="6" s="1"/>
  <c r="I68" i="11"/>
  <c r="I69" i="7"/>
  <c r="F67" i="5"/>
  <c r="B67" i="5"/>
  <c r="I66" i="3"/>
  <c r="F58" i="42"/>
  <c r="H58" i="42" s="1"/>
  <c r="B58" i="42"/>
  <c r="E68" i="8"/>
  <c r="F68" i="8" s="1"/>
  <c r="F58" i="40"/>
  <c r="H58" i="40" s="1"/>
  <c r="B58" i="40"/>
  <c r="B57" i="43"/>
  <c r="F57" i="43"/>
  <c r="G57" i="43" s="1"/>
  <c r="F58" i="41"/>
  <c r="G58" i="41" s="1"/>
  <c r="B58" i="41"/>
  <c r="B71" i="10"/>
  <c r="F71" i="10"/>
  <c r="F67" i="4"/>
  <c r="B67" i="4"/>
  <c r="B67" i="3"/>
  <c r="F67" i="3"/>
  <c r="B141" i="13"/>
  <c r="H140" i="13"/>
  <c r="I140" i="13"/>
  <c r="E141" i="13"/>
  <c r="F141" i="13" s="1"/>
  <c r="D71" i="55" l="1"/>
  <c r="B70" i="55"/>
  <c r="G70" i="55"/>
  <c r="H70" i="55"/>
  <c r="I69" i="55"/>
  <c r="E68" i="54"/>
  <c r="F68" i="54" s="1"/>
  <c r="B68" i="54"/>
  <c r="G142" i="54"/>
  <c r="D143" i="54"/>
  <c r="G146" i="55"/>
  <c r="D147" i="55"/>
  <c r="E148" i="48"/>
  <c r="F148" i="48" s="1"/>
  <c r="H57" i="48"/>
  <c r="I57" i="48" s="1"/>
  <c r="F147" i="49"/>
  <c r="H147" i="48"/>
  <c r="I147" i="48"/>
  <c r="D63" i="49"/>
  <c r="E63" i="49" s="1"/>
  <c r="G62" i="49"/>
  <c r="G57" i="47"/>
  <c r="D58" i="47"/>
  <c r="E58" i="47" s="1"/>
  <c r="H57" i="47"/>
  <c r="H62" i="49"/>
  <c r="D58" i="48"/>
  <c r="E58" i="48" s="1"/>
  <c r="I58" i="13"/>
  <c r="E59" i="13"/>
  <c r="F59" i="13" s="1"/>
  <c r="B59" i="13"/>
  <c r="G59" i="39"/>
  <c r="G59" i="44"/>
  <c r="H59" i="44"/>
  <c r="D60" i="44"/>
  <c r="G58" i="42"/>
  <c r="I58" i="42" s="1"/>
  <c r="G59" i="38"/>
  <c r="I59" i="38" s="1"/>
  <c r="H57" i="43"/>
  <c r="I57" i="43" s="1"/>
  <c r="I58" i="46"/>
  <c r="I59" i="39"/>
  <c r="H63" i="27"/>
  <c r="D64" i="27"/>
  <c r="E64" i="27" s="1"/>
  <c r="G63" i="27"/>
  <c r="H68" i="6"/>
  <c r="G68" i="6"/>
  <c r="D69" i="6"/>
  <c r="E69" i="6" s="1"/>
  <c r="H66" i="25"/>
  <c r="G66" i="25"/>
  <c r="D67" i="25"/>
  <c r="E67" i="25" s="1"/>
  <c r="D69" i="8"/>
  <c r="E69" i="8" s="1"/>
  <c r="G68" i="8"/>
  <c r="H68" i="8"/>
  <c r="G62" i="29"/>
  <c r="H62" i="29"/>
  <c r="D63" i="29"/>
  <c r="E63" i="29" s="1"/>
  <c r="D63" i="28"/>
  <c r="G62" i="28"/>
  <c r="H62" i="28"/>
  <c r="H62" i="31"/>
  <c r="D63" i="31"/>
  <c r="G62" i="31"/>
  <c r="D60" i="45"/>
  <c r="E60" i="45" s="1"/>
  <c r="D61" i="37"/>
  <c r="E61" i="37" s="1"/>
  <c r="G67" i="4"/>
  <c r="H67" i="4"/>
  <c r="D68" i="4"/>
  <c r="E68" i="4" s="1"/>
  <c r="H58" i="41"/>
  <c r="I58" i="41" s="1"/>
  <c r="D58" i="43"/>
  <c r="E58" i="43" s="1"/>
  <c r="D59" i="40"/>
  <c r="E59" i="40" s="1"/>
  <c r="D71" i="7"/>
  <c r="E71" i="7" s="1"/>
  <c r="G70" i="7"/>
  <c r="H70" i="7"/>
  <c r="G61" i="30"/>
  <c r="D62" i="30"/>
  <c r="E62" i="30" s="1"/>
  <c r="H61" i="30"/>
  <c r="G67" i="3"/>
  <c r="D68" i="3"/>
  <c r="E68" i="3" s="1"/>
  <c r="H67" i="3"/>
  <c r="G71" i="10"/>
  <c r="H71" i="10"/>
  <c r="D72" i="10"/>
  <c r="E72" i="10" s="1"/>
  <c r="E73" i="10" s="1"/>
  <c r="G58" i="40"/>
  <c r="I58" i="40" s="1"/>
  <c r="D59" i="42"/>
  <c r="E59" i="42" s="1"/>
  <c r="G64" i="24"/>
  <c r="D65" i="24"/>
  <c r="E65" i="24" s="1"/>
  <c r="H64" i="24"/>
  <c r="H66" i="22"/>
  <c r="G66" i="22"/>
  <c r="D67" i="22"/>
  <c r="E67" i="22" s="1"/>
  <c r="D60" i="39"/>
  <c r="E60" i="39" s="1"/>
  <c r="D60" i="38"/>
  <c r="E60" i="38" s="1"/>
  <c r="H60" i="37"/>
  <c r="I60" i="37" s="1"/>
  <c r="B70" i="9"/>
  <c r="F70" i="9"/>
  <c r="D59" i="41"/>
  <c r="E59" i="41" s="1"/>
  <c r="D68" i="5"/>
  <c r="E68" i="5" s="1"/>
  <c r="G67" i="5"/>
  <c r="H67" i="5"/>
  <c r="D70" i="11"/>
  <c r="E70" i="11" s="1"/>
  <c r="G69" i="11"/>
  <c r="H69" i="11"/>
  <c r="G59" i="45"/>
  <c r="I59" i="45" s="1"/>
  <c r="D66" i="23"/>
  <c r="E66" i="23" s="1"/>
  <c r="G65" i="23"/>
  <c r="H65" i="23"/>
  <c r="I69" i="9"/>
  <c r="B59" i="46"/>
  <c r="F59" i="46"/>
  <c r="H59" i="46" s="1"/>
  <c r="G141" i="13"/>
  <c r="D142" i="13"/>
  <c r="E142" i="13" s="1"/>
  <c r="I70" i="55" l="1"/>
  <c r="D69" i="54"/>
  <c r="H68" i="54"/>
  <c r="G68" i="54"/>
  <c r="B71" i="55"/>
  <c r="E71" i="55"/>
  <c r="F71" i="55" s="1"/>
  <c r="E147" i="55"/>
  <c r="F147" i="55" s="1"/>
  <c r="B147" i="55"/>
  <c r="E143" i="54"/>
  <c r="F143" i="54" s="1"/>
  <c r="B143" i="54"/>
  <c r="I146" i="55"/>
  <c r="H146" i="55"/>
  <c r="I142" i="54"/>
  <c r="H142" i="54"/>
  <c r="D149" i="48"/>
  <c r="G148" i="48"/>
  <c r="G147" i="49"/>
  <c r="D148" i="49"/>
  <c r="B148" i="49" s="1"/>
  <c r="F58" i="48"/>
  <c r="G58" i="48" s="1"/>
  <c r="B58" i="48"/>
  <c r="I57" i="47"/>
  <c r="F58" i="47"/>
  <c r="H58" i="47" s="1"/>
  <c r="B58" i="47"/>
  <c r="I62" i="49"/>
  <c r="B63" i="49"/>
  <c r="F63" i="49"/>
  <c r="H63" i="49" s="1"/>
  <c r="I59" i="44"/>
  <c r="G59" i="13"/>
  <c r="D60" i="13"/>
  <c r="H59" i="13"/>
  <c r="E60" i="44"/>
  <c r="F60" i="44" s="1"/>
  <c r="B60" i="44"/>
  <c r="I64" i="24"/>
  <c r="I67" i="3"/>
  <c r="I66" i="22"/>
  <c r="I70" i="7"/>
  <c r="I71" i="10"/>
  <c r="G59" i="46"/>
  <c r="I59" i="46" s="1"/>
  <c r="I61" i="30"/>
  <c r="F64" i="27"/>
  <c r="B64" i="27"/>
  <c r="I62" i="29"/>
  <c r="I68" i="8"/>
  <c r="I63" i="27"/>
  <c r="G70" i="9"/>
  <c r="H70" i="9"/>
  <c r="D71" i="9"/>
  <c r="E71" i="9" s="1"/>
  <c r="F60" i="38"/>
  <c r="G60" i="38" s="1"/>
  <c r="B60" i="38"/>
  <c r="F60" i="39"/>
  <c r="G60" i="39" s="1"/>
  <c r="B60" i="39"/>
  <c r="F72" i="10"/>
  <c r="B72" i="10"/>
  <c r="B71" i="7"/>
  <c r="F71" i="7"/>
  <c r="B58" i="43"/>
  <c r="F58" i="43"/>
  <c r="H58" i="43" s="1"/>
  <c r="I67" i="4"/>
  <c r="I62" i="28"/>
  <c r="F63" i="29"/>
  <c r="B63" i="29"/>
  <c r="I65" i="23"/>
  <c r="F70" i="11"/>
  <c r="B70" i="11"/>
  <c r="B63" i="31"/>
  <c r="F67" i="25"/>
  <c r="B67" i="25"/>
  <c r="B69" i="6"/>
  <c r="F69" i="6"/>
  <c r="F67" i="22"/>
  <c r="B67" i="22"/>
  <c r="F59" i="42"/>
  <c r="H59" i="42" s="1"/>
  <c r="B59" i="42"/>
  <c r="F68" i="3"/>
  <c r="B68" i="3"/>
  <c r="B62" i="30"/>
  <c r="F62" i="30"/>
  <c r="F59" i="40"/>
  <c r="G59" i="40" s="1"/>
  <c r="B59" i="40"/>
  <c r="F61" i="37"/>
  <c r="G61" i="37" s="1"/>
  <c r="B61" i="37"/>
  <c r="F60" i="45"/>
  <c r="B60" i="45"/>
  <c r="I62" i="31"/>
  <c r="B63" i="28"/>
  <c r="D60" i="46"/>
  <c r="E60" i="46" s="1"/>
  <c r="F66" i="23"/>
  <c r="B66" i="23"/>
  <c r="I69" i="11"/>
  <c r="F68" i="5"/>
  <c r="B68" i="5"/>
  <c r="F59" i="41"/>
  <c r="H59" i="41" s="1"/>
  <c r="B59" i="41"/>
  <c r="B65" i="24"/>
  <c r="F65" i="24"/>
  <c r="B68" i="4"/>
  <c r="F68" i="4"/>
  <c r="E63" i="31"/>
  <c r="F63" i="31" s="1"/>
  <c r="E63" i="28"/>
  <c r="F63" i="28" s="1"/>
  <c r="F69" i="8"/>
  <c r="B69" i="8"/>
  <c r="I66" i="25"/>
  <c r="I68" i="6"/>
  <c r="I141" i="13"/>
  <c r="H141" i="13"/>
  <c r="B142" i="13"/>
  <c r="F142" i="13"/>
  <c r="H71" i="55" l="1"/>
  <c r="D72" i="55"/>
  <c r="G71" i="55"/>
  <c r="I68" i="54"/>
  <c r="E69" i="54"/>
  <c r="F69" i="54" s="1"/>
  <c r="D70" i="54" s="1"/>
  <c r="B69" i="54"/>
  <c r="G143" i="54"/>
  <c r="D144" i="54"/>
  <c r="G147" i="55"/>
  <c r="D148" i="55"/>
  <c r="E148" i="49"/>
  <c r="F148" i="49" s="1"/>
  <c r="I148" i="48"/>
  <c r="H148" i="48"/>
  <c r="H147" i="49"/>
  <c r="I147" i="49"/>
  <c r="E149" i="48"/>
  <c r="B149" i="48"/>
  <c r="I59" i="13"/>
  <c r="D59" i="47"/>
  <c r="E59" i="47" s="1"/>
  <c r="G63" i="49"/>
  <c r="I63" i="49" s="1"/>
  <c r="D64" i="49"/>
  <c r="G58" i="47"/>
  <c r="I58" i="47" s="1"/>
  <c r="H58" i="48"/>
  <c r="D59" i="48"/>
  <c r="E59" i="48" s="1"/>
  <c r="E60" i="13"/>
  <c r="F60" i="13" s="1"/>
  <c r="B60" i="13"/>
  <c r="H60" i="44"/>
  <c r="D61" i="44"/>
  <c r="G60" i="44"/>
  <c r="G59" i="41"/>
  <c r="I59" i="41" s="1"/>
  <c r="I70" i="9"/>
  <c r="H60" i="39"/>
  <c r="I60" i="39" s="1"/>
  <c r="H59" i="40"/>
  <c r="I59" i="40" s="1"/>
  <c r="G59" i="42"/>
  <c r="I59" i="42" s="1"/>
  <c r="G58" i="43"/>
  <c r="I58" i="43" s="1"/>
  <c r="D65" i="27"/>
  <c r="G64" i="27"/>
  <c r="H64" i="27"/>
  <c r="D64" i="28"/>
  <c r="E64" i="28" s="1"/>
  <c r="G63" i="28"/>
  <c r="H63" i="28"/>
  <c r="H63" i="31"/>
  <c r="D64" i="31"/>
  <c r="G63" i="31"/>
  <c r="D70" i="8"/>
  <c r="E70" i="8" s="1"/>
  <c r="G69" i="8"/>
  <c r="H69" i="8"/>
  <c r="D69" i="5"/>
  <c r="H68" i="5"/>
  <c r="G68" i="5"/>
  <c r="D67" i="23"/>
  <c r="G66" i="23"/>
  <c r="H66" i="23"/>
  <c r="D61" i="45"/>
  <c r="E61" i="45" s="1"/>
  <c r="H61" i="37"/>
  <c r="I61" i="37" s="1"/>
  <c r="H69" i="6"/>
  <c r="D70" i="6"/>
  <c r="G69" i="6"/>
  <c r="H70" i="11"/>
  <c r="D71" i="11"/>
  <c r="G70" i="11"/>
  <c r="H60" i="38"/>
  <c r="I60" i="38" s="1"/>
  <c r="H65" i="24"/>
  <c r="D66" i="24"/>
  <c r="E66" i="24" s="1"/>
  <c r="G65" i="24"/>
  <c r="H60" i="45"/>
  <c r="D60" i="40"/>
  <c r="E60" i="40" s="1"/>
  <c r="H68" i="3"/>
  <c r="D69" i="3"/>
  <c r="G68" i="3"/>
  <c r="D60" i="42"/>
  <c r="E60" i="42" s="1"/>
  <c r="H72" i="10"/>
  <c r="G72" i="10"/>
  <c r="G73" i="10" s="1"/>
  <c r="D61" i="39"/>
  <c r="E61" i="39" s="1"/>
  <c r="D60" i="41"/>
  <c r="E60" i="41" s="1"/>
  <c r="F60" i="46"/>
  <c r="G60" i="46" s="1"/>
  <c r="B60" i="46"/>
  <c r="G62" i="30"/>
  <c r="D63" i="30"/>
  <c r="E63" i="30" s="1"/>
  <c r="H62" i="30"/>
  <c r="D59" i="43"/>
  <c r="E59" i="43" s="1"/>
  <c r="G71" i="7"/>
  <c r="H71" i="7"/>
  <c r="D72" i="7"/>
  <c r="G68" i="4"/>
  <c r="D69" i="4"/>
  <c r="H68" i="4"/>
  <c r="G60" i="45"/>
  <c r="D62" i="37"/>
  <c r="E62" i="37" s="1"/>
  <c r="D68" i="22"/>
  <c r="E68" i="22" s="1"/>
  <c r="H67" i="22"/>
  <c r="G67" i="22"/>
  <c r="D68" i="25"/>
  <c r="E68" i="25" s="1"/>
  <c r="G67" i="25"/>
  <c r="H67" i="25"/>
  <c r="H63" i="29"/>
  <c r="G63" i="29"/>
  <c r="D64" i="29"/>
  <c r="E64" i="29" s="1"/>
  <c r="D61" i="38"/>
  <c r="E61" i="38" s="1"/>
  <c r="F71" i="9"/>
  <c r="B71" i="9"/>
  <c r="D143" i="13"/>
  <c r="E143" i="13" s="1"/>
  <c r="G142" i="13"/>
  <c r="G69" i="54" l="1"/>
  <c r="E70" i="54"/>
  <c r="F70" i="54" s="1"/>
  <c r="H70" i="54" s="1"/>
  <c r="B70" i="54"/>
  <c r="E72" i="55"/>
  <c r="E73" i="55" s="1"/>
  <c r="B72" i="55"/>
  <c r="H69" i="54"/>
  <c r="I69" i="54" s="1"/>
  <c r="I71" i="55"/>
  <c r="E148" i="55"/>
  <c r="F148" i="55" s="1"/>
  <c r="B148" i="55"/>
  <c r="E144" i="54"/>
  <c r="F144" i="54" s="1"/>
  <c r="B144" i="54"/>
  <c r="H147" i="55"/>
  <c r="I147" i="55"/>
  <c r="I143" i="54"/>
  <c r="H143" i="54"/>
  <c r="F149" i="48"/>
  <c r="D149" i="49"/>
  <c r="G148" i="49"/>
  <c r="F59" i="48"/>
  <c r="G59" i="48" s="1"/>
  <c r="B59" i="48"/>
  <c r="E64" i="49"/>
  <c r="F64" i="49" s="1"/>
  <c r="H64" i="49" s="1"/>
  <c r="B64" i="49"/>
  <c r="I58" i="48"/>
  <c r="B59" i="47"/>
  <c r="F59" i="47"/>
  <c r="H59" i="47" s="1"/>
  <c r="H60" i="13"/>
  <c r="D61" i="13"/>
  <c r="G60" i="13"/>
  <c r="I60" i="44"/>
  <c r="I67" i="25"/>
  <c r="E61" i="44"/>
  <c r="F61" i="44" s="1"/>
  <c r="B61" i="44"/>
  <c r="H60" i="46"/>
  <c r="I60" i="46" s="1"/>
  <c r="I63" i="28"/>
  <c r="I68" i="4"/>
  <c r="I71" i="7"/>
  <c r="I68" i="3"/>
  <c r="B65" i="27"/>
  <c r="I63" i="29"/>
  <c r="I69" i="6"/>
  <c r="I64" i="27"/>
  <c r="I65" i="24"/>
  <c r="I70" i="11"/>
  <c r="E65" i="27"/>
  <c r="F65" i="27" s="1"/>
  <c r="B72" i="7"/>
  <c r="B59" i="43"/>
  <c r="F59" i="43"/>
  <c r="G59" i="43" s="1"/>
  <c r="B61" i="39"/>
  <c r="F61" i="39"/>
  <c r="B69" i="3"/>
  <c r="I60" i="45"/>
  <c r="B71" i="11"/>
  <c r="B70" i="6"/>
  <c r="I66" i="23"/>
  <c r="I69" i="8"/>
  <c r="D72" i="9"/>
  <c r="G71" i="9"/>
  <c r="H71" i="9"/>
  <c r="B64" i="29"/>
  <c r="F64" i="29"/>
  <c r="B62" i="37"/>
  <c r="F62" i="37"/>
  <c r="G62" i="37" s="1"/>
  <c r="B69" i="4"/>
  <c r="F60" i="42"/>
  <c r="G60" i="42" s="1"/>
  <c r="B60" i="42"/>
  <c r="B64" i="31"/>
  <c r="I67" i="22"/>
  <c r="I62" i="30"/>
  <c r="B60" i="41"/>
  <c r="F60" i="41"/>
  <c r="H60" i="41" s="1"/>
  <c r="I72" i="10"/>
  <c r="I73" i="10" s="1"/>
  <c r="H73" i="10"/>
  <c r="E69" i="3"/>
  <c r="F69" i="3" s="1"/>
  <c r="E71" i="11"/>
  <c r="F71" i="11" s="1"/>
  <c r="E70" i="6"/>
  <c r="F70" i="6" s="1"/>
  <c r="F61" i="45"/>
  <c r="H61" i="45" s="1"/>
  <c r="B61" i="45"/>
  <c r="B67" i="23"/>
  <c r="B69" i="5"/>
  <c r="B70" i="8"/>
  <c r="F70" i="8"/>
  <c r="I63" i="31"/>
  <c r="B61" i="38"/>
  <c r="F61" i="38"/>
  <c r="G61" i="38" s="1"/>
  <c r="B68" i="25"/>
  <c r="F68" i="25"/>
  <c r="F68" i="22"/>
  <c r="B68" i="22"/>
  <c r="E69" i="4"/>
  <c r="F69" i="4" s="1"/>
  <c r="E72" i="7"/>
  <c r="E73" i="7" s="1"/>
  <c r="F63" i="30"/>
  <c r="B63" i="30"/>
  <c r="D61" i="46"/>
  <c r="B60" i="40"/>
  <c r="F60" i="40"/>
  <c r="H60" i="40" s="1"/>
  <c r="F66" i="24"/>
  <c r="B66" i="24"/>
  <c r="E67" i="23"/>
  <c r="F67" i="23" s="1"/>
  <c r="E69" i="5"/>
  <c r="F69" i="5" s="1"/>
  <c r="E64" i="31"/>
  <c r="F64" i="31" s="1"/>
  <c r="B64" i="28"/>
  <c r="F64" i="28"/>
  <c r="I142" i="13"/>
  <c r="H142" i="13"/>
  <c r="B143" i="13"/>
  <c r="F143" i="13"/>
  <c r="F72" i="55" l="1"/>
  <c r="H72" i="55" s="1"/>
  <c r="H73" i="55"/>
  <c r="G70" i="54"/>
  <c r="I70" i="54" s="1"/>
  <c r="D71" i="54"/>
  <c r="G72" i="55"/>
  <c r="G73" i="55" s="1"/>
  <c r="D145" i="54"/>
  <c r="G144" i="54"/>
  <c r="G148" i="55"/>
  <c r="D149" i="55"/>
  <c r="H59" i="48"/>
  <c r="I59" i="48" s="1"/>
  <c r="I148" i="49"/>
  <c r="H148" i="49"/>
  <c r="D150" i="48"/>
  <c r="G149" i="48"/>
  <c r="E149" i="49"/>
  <c r="B149" i="49"/>
  <c r="D65" i="49"/>
  <c r="E65" i="49" s="1"/>
  <c r="F65" i="49" s="1"/>
  <c r="D66" i="49" s="1"/>
  <c r="I60" i="13"/>
  <c r="G59" i="47"/>
  <c r="I59" i="47" s="1"/>
  <c r="D60" i="47"/>
  <c r="E60" i="47" s="1"/>
  <c r="F60" i="47" s="1"/>
  <c r="G64" i="49"/>
  <c r="I64" i="49" s="1"/>
  <c r="D60" i="48"/>
  <c r="E60" i="48" s="1"/>
  <c r="F60" i="48" s="1"/>
  <c r="E61" i="13"/>
  <c r="F61" i="13" s="1"/>
  <c r="B61" i="13"/>
  <c r="H61" i="44"/>
  <c r="D62" i="44"/>
  <c r="G61" i="44"/>
  <c r="I71" i="9"/>
  <c r="G61" i="45"/>
  <c r="I61" i="45" s="1"/>
  <c r="G60" i="41"/>
  <c r="I60" i="41" s="1"/>
  <c r="H59" i="43"/>
  <c r="I59" i="43" s="1"/>
  <c r="G65" i="27"/>
  <c r="D66" i="27"/>
  <c r="H65" i="27"/>
  <c r="H60" i="42"/>
  <c r="I60" i="42" s="1"/>
  <c r="H71" i="11"/>
  <c r="G71" i="11"/>
  <c r="D72" i="11"/>
  <c r="E72" i="11" s="1"/>
  <c r="E73" i="11" s="1"/>
  <c r="H69" i="5"/>
  <c r="D70" i="5"/>
  <c r="E70" i="5" s="1"/>
  <c r="G69" i="5"/>
  <c r="G69" i="3"/>
  <c r="H69" i="3"/>
  <c r="D70" i="3"/>
  <c r="E70" i="3" s="1"/>
  <c r="G69" i="4"/>
  <c r="D70" i="4"/>
  <c r="E70" i="4" s="1"/>
  <c r="H69" i="4"/>
  <c r="G67" i="23"/>
  <c r="H67" i="23"/>
  <c r="D68" i="23"/>
  <c r="H64" i="31"/>
  <c r="D65" i="31"/>
  <c r="G64" i="31"/>
  <c r="H70" i="6"/>
  <c r="D71" i="6"/>
  <c r="G70" i="6"/>
  <c r="H66" i="24"/>
  <c r="D67" i="24"/>
  <c r="G66" i="24"/>
  <c r="H63" i="30"/>
  <c r="D64" i="30"/>
  <c r="G63" i="30"/>
  <c r="D69" i="22"/>
  <c r="G68" i="22"/>
  <c r="H68" i="22"/>
  <c r="B72" i="9"/>
  <c r="D62" i="39"/>
  <c r="E62" i="39" s="1"/>
  <c r="G60" i="40"/>
  <c r="I60" i="40" s="1"/>
  <c r="B61" i="46"/>
  <c r="H68" i="25"/>
  <c r="D69" i="25"/>
  <c r="E69" i="25" s="1"/>
  <c r="G68" i="25"/>
  <c r="H61" i="38"/>
  <c r="I61" i="38" s="1"/>
  <c r="D63" i="37"/>
  <c r="D65" i="28"/>
  <c r="G64" i="28"/>
  <c r="H64" i="28"/>
  <c r="E61" i="46"/>
  <c r="F61" i="46" s="1"/>
  <c r="D71" i="8"/>
  <c r="G70" i="8"/>
  <c r="H70" i="8"/>
  <c r="D62" i="45"/>
  <c r="D61" i="41"/>
  <c r="E61" i="41" s="1"/>
  <c r="G61" i="39"/>
  <c r="D60" i="43"/>
  <c r="E60" i="43" s="1"/>
  <c r="F72" i="7"/>
  <c r="D61" i="40"/>
  <c r="E61" i="40" s="1"/>
  <c r="D62" i="38"/>
  <c r="E62" i="38" s="1"/>
  <c r="D61" i="42"/>
  <c r="E61" i="42" s="1"/>
  <c r="H62" i="37"/>
  <c r="I62" i="37" s="1"/>
  <c r="G64" i="29"/>
  <c r="H64" i="29"/>
  <c r="D65" i="29"/>
  <c r="E65" i="29" s="1"/>
  <c r="E72" i="9"/>
  <c r="E73" i="9" s="1"/>
  <c r="H61" i="39"/>
  <c r="D144" i="13"/>
  <c r="G143" i="13"/>
  <c r="E71" i="54" l="1"/>
  <c r="B71" i="54"/>
  <c r="F71" i="54"/>
  <c r="G71" i="54" s="1"/>
  <c r="I72" i="55"/>
  <c r="I73" i="55" s="1"/>
  <c r="E149" i="55"/>
  <c r="F149" i="55" s="1"/>
  <c r="B149" i="55"/>
  <c r="I144" i="54"/>
  <c r="H144" i="54"/>
  <c r="I148" i="55"/>
  <c r="H148" i="55"/>
  <c r="E145" i="54"/>
  <c r="F145" i="54" s="1"/>
  <c r="B145" i="54"/>
  <c r="E150" i="48"/>
  <c r="B150" i="48"/>
  <c r="I149" i="48"/>
  <c r="H149" i="48"/>
  <c r="F149" i="49"/>
  <c r="D61" i="47"/>
  <c r="E61" i="47" s="1"/>
  <c r="F61" i="47" s="1"/>
  <c r="B65" i="49"/>
  <c r="G65" i="49"/>
  <c r="H65" i="49"/>
  <c r="H60" i="48"/>
  <c r="D61" i="48"/>
  <c r="E61" i="48" s="1"/>
  <c r="F61" i="48" s="1"/>
  <c r="B60" i="47"/>
  <c r="G60" i="47"/>
  <c r="H60" i="47"/>
  <c r="E66" i="49"/>
  <c r="F66" i="49" s="1"/>
  <c r="B66" i="49"/>
  <c r="B60" i="48"/>
  <c r="G60" i="48"/>
  <c r="I61" i="44"/>
  <c r="H61" i="13"/>
  <c r="G61" i="13"/>
  <c r="D62" i="13"/>
  <c r="E62" i="44"/>
  <c r="F62" i="44" s="1"/>
  <c r="B62" i="44"/>
  <c r="I66" i="24"/>
  <c r="I67" i="23"/>
  <c r="I65" i="27"/>
  <c r="I70" i="6"/>
  <c r="I63" i="30"/>
  <c r="E66" i="27"/>
  <c r="F66" i="27" s="1"/>
  <c r="B66" i="27"/>
  <c r="I64" i="31"/>
  <c r="I69" i="4"/>
  <c r="I69" i="3"/>
  <c r="D62" i="46"/>
  <c r="E62" i="46" s="1"/>
  <c r="G61" i="46"/>
  <c r="H61" i="46"/>
  <c r="B61" i="40"/>
  <c r="F61" i="40"/>
  <c r="G61" i="40" s="1"/>
  <c r="F61" i="41"/>
  <c r="H61" i="41" s="1"/>
  <c r="B61" i="41"/>
  <c r="I70" i="8"/>
  <c r="I68" i="25"/>
  <c r="F72" i="9"/>
  <c r="I68" i="22"/>
  <c r="B68" i="23"/>
  <c r="B60" i="43"/>
  <c r="F60" i="43"/>
  <c r="H60" i="43" s="1"/>
  <c r="B62" i="45"/>
  <c r="B65" i="28"/>
  <c r="B64" i="30"/>
  <c r="B67" i="24"/>
  <c r="B71" i="6"/>
  <c r="B65" i="31"/>
  <c r="B70" i="3"/>
  <c r="F70" i="3"/>
  <c r="B72" i="11"/>
  <c r="F72" i="11"/>
  <c r="B62" i="38"/>
  <c r="F62" i="38"/>
  <c r="G62" i="38" s="1"/>
  <c r="E62" i="45"/>
  <c r="F62" i="45" s="1"/>
  <c r="B71" i="8"/>
  <c r="E65" i="28"/>
  <c r="F65" i="28" s="1"/>
  <c r="B63" i="37"/>
  <c r="B69" i="22"/>
  <c r="F70" i="4"/>
  <c r="B70" i="4"/>
  <c r="F70" i="5"/>
  <c r="B70" i="5"/>
  <c r="F65" i="29"/>
  <c r="B65" i="29"/>
  <c r="I61" i="39"/>
  <c r="I64" i="29"/>
  <c r="B61" i="42"/>
  <c r="F61" i="42"/>
  <c r="H61" i="42" s="1"/>
  <c r="G72" i="7"/>
  <c r="G73" i="7" s="1"/>
  <c r="H72" i="7"/>
  <c r="E71" i="8"/>
  <c r="F71" i="8" s="1"/>
  <c r="I64" i="28"/>
  <c r="E63" i="37"/>
  <c r="F63" i="37" s="1"/>
  <c r="F69" i="25"/>
  <c r="B69" i="25"/>
  <c r="F62" i="39"/>
  <c r="G62" i="39" s="1"/>
  <c r="B62" i="39"/>
  <c r="E69" i="22"/>
  <c r="F69" i="22" s="1"/>
  <c r="E64" i="30"/>
  <c r="F64" i="30" s="1"/>
  <c r="E67" i="24"/>
  <c r="F67" i="24" s="1"/>
  <c r="E71" i="6"/>
  <c r="F71" i="6" s="1"/>
  <c r="E65" i="31"/>
  <c r="F65" i="31" s="1"/>
  <c r="E68" i="23"/>
  <c r="F68" i="23" s="1"/>
  <c r="I71" i="11"/>
  <c r="H143" i="13"/>
  <c r="I143" i="13"/>
  <c r="B144" i="13"/>
  <c r="E144" i="13"/>
  <c r="F144" i="13" s="1"/>
  <c r="H71" i="54" l="1"/>
  <c r="I71" i="54" s="1"/>
  <c r="D72" i="54"/>
  <c r="G145" i="54"/>
  <c r="D146" i="54"/>
  <c r="G149" i="55"/>
  <c r="D150" i="55"/>
  <c r="B150" i="55" s="1"/>
  <c r="D67" i="49"/>
  <c r="E67" i="49" s="1"/>
  <c r="F67" i="49" s="1"/>
  <c r="G66" i="49"/>
  <c r="I60" i="48"/>
  <c r="D150" i="49"/>
  <c r="G149" i="49"/>
  <c r="F150" i="48"/>
  <c r="D62" i="48"/>
  <c r="E62" i="48" s="1"/>
  <c r="F62" i="48" s="1"/>
  <c r="I60" i="47"/>
  <c r="B61" i="48"/>
  <c r="G61" i="48"/>
  <c r="H61" i="48"/>
  <c r="H66" i="49"/>
  <c r="G61" i="47"/>
  <c r="D62" i="47"/>
  <c r="E62" i="47" s="1"/>
  <c r="F62" i="47" s="1"/>
  <c r="I65" i="49"/>
  <c r="B61" i="47"/>
  <c r="H61" i="47"/>
  <c r="I61" i="13"/>
  <c r="E62" i="13"/>
  <c r="F62" i="13" s="1"/>
  <c r="B62" i="13"/>
  <c r="G62" i="44"/>
  <c r="H62" i="44"/>
  <c r="D63" i="44"/>
  <c r="I61" i="46"/>
  <c r="H62" i="39"/>
  <c r="I62" i="39" s="1"/>
  <c r="H61" i="40"/>
  <c r="I61" i="40" s="1"/>
  <c r="G61" i="42"/>
  <c r="I61" i="42" s="1"/>
  <c r="G66" i="27"/>
  <c r="H66" i="27"/>
  <c r="D67" i="27"/>
  <c r="H69" i="22"/>
  <c r="G69" i="22"/>
  <c r="D70" i="22"/>
  <c r="E70" i="22" s="1"/>
  <c r="H65" i="28"/>
  <c r="G65" i="28"/>
  <c r="D66" i="28"/>
  <c r="E66" i="28" s="1"/>
  <c r="H71" i="6"/>
  <c r="G71" i="6"/>
  <c r="D72" i="6"/>
  <c r="E72" i="6" s="1"/>
  <c r="E73" i="6" s="1"/>
  <c r="G65" i="31"/>
  <c r="H65" i="31"/>
  <c r="D66" i="31"/>
  <c r="E66" i="31" s="1"/>
  <c r="G67" i="24"/>
  <c r="H67" i="24"/>
  <c r="D68" i="24"/>
  <c r="E68" i="24" s="1"/>
  <c r="D69" i="23"/>
  <c r="E69" i="23" s="1"/>
  <c r="G68" i="23"/>
  <c r="H68" i="23"/>
  <c r="H64" i="30"/>
  <c r="D65" i="30"/>
  <c r="E65" i="30" s="1"/>
  <c r="G64" i="30"/>
  <c r="D64" i="37"/>
  <c r="H63" i="37"/>
  <c r="G63" i="37"/>
  <c r="D63" i="45"/>
  <c r="E63" i="45" s="1"/>
  <c r="G62" i="45"/>
  <c r="H62" i="45"/>
  <c r="D70" i="25"/>
  <c r="E70" i="25" s="1"/>
  <c r="G69" i="25"/>
  <c r="H69" i="25"/>
  <c r="D63" i="38"/>
  <c r="E63" i="38" s="1"/>
  <c r="D71" i="3"/>
  <c r="H70" i="3"/>
  <c r="G70" i="3"/>
  <c r="D61" i="43"/>
  <c r="E61" i="43" s="1"/>
  <c r="I72" i="7"/>
  <c r="I73" i="7" s="1"/>
  <c r="H73" i="7"/>
  <c r="G70" i="5"/>
  <c r="D71" i="5"/>
  <c r="E71" i="5" s="1"/>
  <c r="H70" i="5"/>
  <c r="D62" i="41"/>
  <c r="E62" i="41" s="1"/>
  <c r="D63" i="39"/>
  <c r="E63" i="39" s="1"/>
  <c r="D62" i="42"/>
  <c r="E62" i="42" s="1"/>
  <c r="H62" i="38"/>
  <c r="I62" i="38" s="1"/>
  <c r="H72" i="11"/>
  <c r="G72" i="11"/>
  <c r="G73" i="11" s="1"/>
  <c r="G60" i="43"/>
  <c r="I60" i="43" s="1"/>
  <c r="G61" i="41"/>
  <c r="I61" i="41" s="1"/>
  <c r="D62" i="40"/>
  <c r="E62" i="40" s="1"/>
  <c r="G65" i="29"/>
  <c r="H65" i="29"/>
  <c r="D66" i="29"/>
  <c r="E66" i="29" s="1"/>
  <c r="H70" i="4"/>
  <c r="G70" i="4"/>
  <c r="D71" i="4"/>
  <c r="E71" i="4" s="1"/>
  <c r="H71" i="8"/>
  <c r="G71" i="8"/>
  <c r="D72" i="8"/>
  <c r="E72" i="8" s="1"/>
  <c r="E73" i="8" s="1"/>
  <c r="H72" i="9"/>
  <c r="G72" i="9"/>
  <c r="G73" i="9" s="1"/>
  <c r="F62" i="46"/>
  <c r="H62" i="46" s="1"/>
  <c r="B62" i="46"/>
  <c r="G144" i="13"/>
  <c r="D145" i="13"/>
  <c r="E145" i="13" s="1"/>
  <c r="E72" i="54" l="1"/>
  <c r="E73" i="54" s="1"/>
  <c r="F72" i="54"/>
  <c r="G72" i="54" s="1"/>
  <c r="G73" i="54" s="1"/>
  <c r="B72" i="54"/>
  <c r="H72" i="54"/>
  <c r="E150" i="55"/>
  <c r="F150" i="55" s="1"/>
  <c r="H149" i="55"/>
  <c r="I149" i="55"/>
  <c r="E146" i="54"/>
  <c r="F146" i="54" s="1"/>
  <c r="B146" i="54"/>
  <c r="H145" i="54"/>
  <c r="I145" i="54"/>
  <c r="B67" i="49"/>
  <c r="I61" i="48"/>
  <c r="I66" i="49"/>
  <c r="I61" i="47"/>
  <c r="H149" i="49"/>
  <c r="I149" i="49"/>
  <c r="G150" i="48"/>
  <c r="D151" i="48"/>
  <c r="E150" i="49"/>
  <c r="B150" i="49"/>
  <c r="H67" i="49"/>
  <c r="D68" i="49"/>
  <c r="E68" i="49" s="1"/>
  <c r="H62" i="47"/>
  <c r="D63" i="47"/>
  <c r="E63" i="47" s="1"/>
  <c r="F63" i="47" s="1"/>
  <c r="B62" i="47"/>
  <c r="G62" i="47"/>
  <c r="G67" i="49"/>
  <c r="H62" i="48"/>
  <c r="D63" i="48"/>
  <c r="B62" i="48"/>
  <c r="G62" i="48"/>
  <c r="I69" i="25"/>
  <c r="I68" i="23"/>
  <c r="G62" i="13"/>
  <c r="H62" i="13"/>
  <c r="D63" i="13"/>
  <c r="I62" i="44"/>
  <c r="I70" i="4"/>
  <c r="E63" i="44"/>
  <c r="F63" i="44" s="1"/>
  <c r="B63" i="44"/>
  <c r="I66" i="27"/>
  <c r="G62" i="46"/>
  <c r="I62" i="46" s="1"/>
  <c r="I63" i="37"/>
  <c r="B67" i="27"/>
  <c r="I71" i="8"/>
  <c r="E67" i="27"/>
  <c r="F67" i="27" s="1"/>
  <c r="I65" i="31"/>
  <c r="I65" i="29"/>
  <c r="I72" i="11"/>
  <c r="I73" i="11" s="1"/>
  <c r="H73" i="11"/>
  <c r="B62" i="41"/>
  <c r="F62" i="41"/>
  <c r="H62" i="41" s="1"/>
  <c r="I70" i="3"/>
  <c r="I62" i="45"/>
  <c r="B63" i="39"/>
  <c r="F63" i="39"/>
  <c r="H63" i="39" s="1"/>
  <c r="F61" i="43"/>
  <c r="G61" i="43" s="1"/>
  <c r="B61" i="43"/>
  <c r="B71" i="3"/>
  <c r="F68" i="24"/>
  <c r="B68" i="24"/>
  <c r="F66" i="31"/>
  <c r="B66" i="31"/>
  <c r="F72" i="6"/>
  <c r="B72" i="6"/>
  <c r="F66" i="28"/>
  <c r="B66" i="28"/>
  <c r="B70" i="22"/>
  <c r="F70" i="22"/>
  <c r="I72" i="9"/>
  <c r="I73" i="9" s="1"/>
  <c r="H73" i="9"/>
  <c r="D63" i="46"/>
  <c r="E63" i="46" s="1"/>
  <c r="B71" i="5"/>
  <c r="F71" i="5"/>
  <c r="E71" i="3"/>
  <c r="F71" i="3" s="1"/>
  <c r="B64" i="37"/>
  <c r="F65" i="30"/>
  <c r="B65" i="30"/>
  <c r="I67" i="24"/>
  <c r="F72" i="8"/>
  <c r="B72" i="8"/>
  <c r="B71" i="4"/>
  <c r="F71" i="4"/>
  <c r="F66" i="29"/>
  <c r="B66" i="29"/>
  <c r="F62" i="40"/>
  <c r="H62" i="40" s="1"/>
  <c r="B62" i="40"/>
  <c r="B62" i="42"/>
  <c r="F62" i="42"/>
  <c r="H62" i="42" s="1"/>
  <c r="B63" i="38"/>
  <c r="F63" i="38"/>
  <c r="G63" i="38" s="1"/>
  <c r="F70" i="25"/>
  <c r="B70" i="25"/>
  <c r="F63" i="45"/>
  <c r="H63" i="45" s="1"/>
  <c r="B63" i="45"/>
  <c r="E64" i="37"/>
  <c r="F64" i="37" s="1"/>
  <c r="H64" i="37" s="1"/>
  <c r="I64" i="30"/>
  <c r="B69" i="23"/>
  <c r="F69" i="23"/>
  <c r="I71" i="6"/>
  <c r="I65" i="28"/>
  <c r="I69" i="22"/>
  <c r="F145" i="13"/>
  <c r="B145" i="13"/>
  <c r="H144" i="13"/>
  <c r="I144" i="13"/>
  <c r="I72" i="54" l="1"/>
  <c r="I73" i="54" s="1"/>
  <c r="H73" i="54"/>
  <c r="G146" i="54"/>
  <c r="D147" i="54"/>
  <c r="G150" i="55"/>
  <c r="D151" i="55"/>
  <c r="I62" i="47"/>
  <c r="I67" i="49"/>
  <c r="E151" i="48"/>
  <c r="B151" i="48"/>
  <c r="I150" i="48"/>
  <c r="H150" i="48"/>
  <c r="F150" i="49"/>
  <c r="E63" i="48"/>
  <c r="F63" i="48" s="1"/>
  <c r="G63" i="48" s="1"/>
  <c r="B63" i="48"/>
  <c r="D64" i="47"/>
  <c r="E64" i="47" s="1"/>
  <c r="F64" i="47" s="1"/>
  <c r="F68" i="49"/>
  <c r="B68" i="49"/>
  <c r="I62" i="48"/>
  <c r="B63" i="47"/>
  <c r="H63" i="47"/>
  <c r="G63" i="47"/>
  <c r="I62" i="13"/>
  <c r="E63" i="13"/>
  <c r="F63" i="13" s="1"/>
  <c r="B63" i="13"/>
  <c r="D64" i="44"/>
  <c r="G63" i="44"/>
  <c r="H63" i="44"/>
  <c r="H63" i="38"/>
  <c r="I63" i="38" s="1"/>
  <c r="G63" i="45"/>
  <c r="I63" i="45" s="1"/>
  <c r="G67" i="27"/>
  <c r="D68" i="27"/>
  <c r="B68" i="27" s="1"/>
  <c r="H67" i="27"/>
  <c r="H61" i="43"/>
  <c r="I61" i="43" s="1"/>
  <c r="G71" i="3"/>
  <c r="H71" i="3"/>
  <c r="D72" i="3"/>
  <c r="E72" i="3" s="1"/>
  <c r="E73" i="3" s="1"/>
  <c r="G69" i="23"/>
  <c r="H69" i="23"/>
  <c r="D70" i="23"/>
  <c r="E70" i="23" s="1"/>
  <c r="H71" i="4"/>
  <c r="D72" i="4"/>
  <c r="E72" i="4" s="1"/>
  <c r="E73" i="4" s="1"/>
  <c r="G71" i="4"/>
  <c r="D72" i="5"/>
  <c r="E72" i="5" s="1"/>
  <c r="E73" i="5" s="1"/>
  <c r="H71" i="5"/>
  <c r="G71" i="5"/>
  <c r="G62" i="41"/>
  <c r="I62" i="41" s="1"/>
  <c r="D71" i="25"/>
  <c r="G70" i="25"/>
  <c r="H70" i="25"/>
  <c r="D63" i="40"/>
  <c r="E63" i="40" s="1"/>
  <c r="D65" i="37"/>
  <c r="E65" i="37" s="1"/>
  <c r="H66" i="28"/>
  <c r="D67" i="28"/>
  <c r="G66" i="28"/>
  <c r="G66" i="31"/>
  <c r="D67" i="31"/>
  <c r="H66" i="31"/>
  <c r="D62" i="43"/>
  <c r="E62" i="43" s="1"/>
  <c r="D63" i="42"/>
  <c r="G65" i="30"/>
  <c r="H65" i="30"/>
  <c r="D66" i="30"/>
  <c r="H70" i="22"/>
  <c r="D71" i="22"/>
  <c r="G70" i="22"/>
  <c r="D64" i="39"/>
  <c r="D63" i="41"/>
  <c r="E63" i="41" s="1"/>
  <c r="D64" i="45"/>
  <c r="E64" i="45" s="1"/>
  <c r="D64" i="38"/>
  <c r="E64" i="38" s="1"/>
  <c r="G62" i="42"/>
  <c r="I62" i="42" s="1"/>
  <c r="G62" i="40"/>
  <c r="I62" i="40" s="1"/>
  <c r="H66" i="29"/>
  <c r="D67" i="29"/>
  <c r="G66" i="29"/>
  <c r="H72" i="8"/>
  <c r="G72" i="8"/>
  <c r="G73" i="8" s="1"/>
  <c r="G64" i="37"/>
  <c r="I64" i="37" s="1"/>
  <c r="B63" i="46"/>
  <c r="F63" i="46"/>
  <c r="G63" i="46" s="1"/>
  <c r="G72" i="6"/>
  <c r="G73" i="6" s="1"/>
  <c r="H72" i="6"/>
  <c r="H68" i="24"/>
  <c r="G68" i="24"/>
  <c r="D69" i="24"/>
  <c r="E69" i="24" s="1"/>
  <c r="G63" i="39"/>
  <c r="I63" i="39" s="1"/>
  <c r="G145" i="13"/>
  <c r="D146" i="13"/>
  <c r="E146" i="13" s="1"/>
  <c r="E147" i="54" l="1"/>
  <c r="F147" i="54"/>
  <c r="B147" i="54"/>
  <c r="E151" i="55"/>
  <c r="F151" i="55" s="1"/>
  <c r="B151" i="55"/>
  <c r="I150" i="55"/>
  <c r="H150" i="55"/>
  <c r="H146" i="54"/>
  <c r="I146" i="54"/>
  <c r="D151" i="49"/>
  <c r="G150" i="49"/>
  <c r="E151" i="49"/>
  <c r="F151" i="48"/>
  <c r="G68" i="49"/>
  <c r="D69" i="49"/>
  <c r="H64" i="47"/>
  <c r="D65" i="47"/>
  <c r="H68" i="49"/>
  <c r="B64" i="47"/>
  <c r="G64" i="47"/>
  <c r="D64" i="48"/>
  <c r="E64" i="48" s="1"/>
  <c r="F64" i="48" s="1"/>
  <c r="I63" i="47"/>
  <c r="H63" i="48"/>
  <c r="I63" i="48" s="1"/>
  <c r="G63" i="13"/>
  <c r="H63" i="13"/>
  <c r="D64" i="13"/>
  <c r="I63" i="44"/>
  <c r="E64" i="44"/>
  <c r="F64" i="44" s="1"/>
  <c r="B64" i="44"/>
  <c r="I66" i="28"/>
  <c r="I65" i="30"/>
  <c r="I66" i="29"/>
  <c r="I70" i="22"/>
  <c r="E68" i="27"/>
  <c r="F68" i="27" s="1"/>
  <c r="I68" i="24"/>
  <c r="H63" i="46"/>
  <c r="I63" i="46" s="1"/>
  <c r="I67" i="27"/>
  <c r="I72" i="8"/>
  <c r="I73" i="8" s="1"/>
  <c r="H73" i="8"/>
  <c r="B64" i="39"/>
  <c r="B67" i="29"/>
  <c r="E64" i="39"/>
  <c r="F64" i="39" s="1"/>
  <c r="B66" i="30"/>
  <c r="B63" i="42"/>
  <c r="I66" i="31"/>
  <c r="I70" i="25"/>
  <c r="I71" i="3"/>
  <c r="I72" i="6"/>
  <c r="I73" i="6" s="1"/>
  <c r="H73" i="6"/>
  <c r="B71" i="22"/>
  <c r="B67" i="31"/>
  <c r="F69" i="24"/>
  <c r="B69" i="24"/>
  <c r="E67" i="29"/>
  <c r="F67" i="29" s="1"/>
  <c r="B62" i="43"/>
  <c r="F62" i="43"/>
  <c r="G62" i="43" s="1"/>
  <c r="B63" i="40"/>
  <c r="F63" i="40"/>
  <c r="H63" i="40" s="1"/>
  <c r="B71" i="25"/>
  <c r="B72" i="4"/>
  <c r="F72" i="4"/>
  <c r="F70" i="23"/>
  <c r="B70" i="23"/>
  <c r="B64" i="38"/>
  <c r="F64" i="38"/>
  <c r="H64" i="38" s="1"/>
  <c r="B67" i="28"/>
  <c r="D64" i="46"/>
  <c r="E64" i="46" s="1"/>
  <c r="F64" i="45"/>
  <c r="H64" i="45" s="1"/>
  <c r="B64" i="45"/>
  <c r="B63" i="41"/>
  <c r="F63" i="41"/>
  <c r="H63" i="41" s="1"/>
  <c r="E71" i="22"/>
  <c r="F71" i="22" s="1"/>
  <c r="E66" i="30"/>
  <c r="F66" i="30" s="1"/>
  <c r="E63" i="42"/>
  <c r="F63" i="42" s="1"/>
  <c r="E67" i="31"/>
  <c r="F67" i="31" s="1"/>
  <c r="E67" i="28"/>
  <c r="F67" i="28" s="1"/>
  <c r="F65" i="37"/>
  <c r="G65" i="37" s="1"/>
  <c r="B65" i="37"/>
  <c r="E71" i="25"/>
  <c r="F71" i="25" s="1"/>
  <c r="B72" i="5"/>
  <c r="F72" i="5"/>
  <c r="I71" i="4"/>
  <c r="I69" i="23"/>
  <c r="F72" i="3"/>
  <c r="B72" i="3"/>
  <c r="H145" i="13"/>
  <c r="I145" i="13"/>
  <c r="B146" i="13"/>
  <c r="F146" i="13"/>
  <c r="G151" i="55" l="1"/>
  <c r="D152" i="55"/>
  <c r="E152" i="55"/>
  <c r="G147" i="54"/>
  <c r="D148" i="54"/>
  <c r="I68" i="49"/>
  <c r="I64" i="47"/>
  <c r="H150" i="49"/>
  <c r="I150" i="49"/>
  <c r="G151" i="48"/>
  <c r="D152" i="48"/>
  <c r="B152" i="48" s="1"/>
  <c r="F151" i="49"/>
  <c r="B151" i="49"/>
  <c r="H64" i="48"/>
  <c r="D65" i="48"/>
  <c r="E69" i="49"/>
  <c r="F69" i="49" s="1"/>
  <c r="B69" i="49"/>
  <c r="B65" i="47"/>
  <c r="B64" i="48"/>
  <c r="G64" i="48"/>
  <c r="E65" i="47"/>
  <c r="F65" i="47" s="1"/>
  <c r="H65" i="47" s="1"/>
  <c r="I63" i="13"/>
  <c r="E64" i="13"/>
  <c r="F64" i="13" s="1"/>
  <c r="B64" i="13"/>
  <c r="G63" i="41"/>
  <c r="I63" i="41" s="1"/>
  <c r="G64" i="44"/>
  <c r="D65" i="44"/>
  <c r="H64" i="44"/>
  <c r="H68" i="27"/>
  <c r="G68" i="27"/>
  <c r="D69" i="27"/>
  <c r="E69" i="27" s="1"/>
  <c r="D64" i="42"/>
  <c r="E64" i="42" s="1"/>
  <c r="H63" i="42"/>
  <c r="G63" i="42"/>
  <c r="H66" i="30"/>
  <c r="G66" i="30"/>
  <c r="D67" i="30"/>
  <c r="E67" i="30" s="1"/>
  <c r="G67" i="29"/>
  <c r="D68" i="29"/>
  <c r="H67" i="29"/>
  <c r="H67" i="28"/>
  <c r="D68" i="28"/>
  <c r="G67" i="28"/>
  <c r="D68" i="31"/>
  <c r="H67" i="31"/>
  <c r="G67" i="31"/>
  <c r="D65" i="39"/>
  <c r="E65" i="39" s="1"/>
  <c r="H64" i="39"/>
  <c r="G64" i="39"/>
  <c r="G72" i="5"/>
  <c r="G73" i="5" s="1"/>
  <c r="H72" i="5"/>
  <c r="H73" i="5" s="1"/>
  <c r="D65" i="45"/>
  <c r="H72" i="4"/>
  <c r="G72" i="4"/>
  <c r="G73" i="4" s="1"/>
  <c r="D63" i="43"/>
  <c r="E63" i="43" s="1"/>
  <c r="H69" i="24"/>
  <c r="G69" i="24"/>
  <c r="D70" i="24"/>
  <c r="E70" i="24" s="1"/>
  <c r="H70" i="23"/>
  <c r="G70" i="23"/>
  <c r="D71" i="23"/>
  <c r="E71" i="23" s="1"/>
  <c r="D72" i="25"/>
  <c r="E72" i="25" s="1"/>
  <c r="E73" i="25" s="1"/>
  <c r="H71" i="25"/>
  <c r="G71" i="25"/>
  <c r="D66" i="37"/>
  <c r="E66" i="37" s="1"/>
  <c r="D64" i="40"/>
  <c r="E64" i="40" s="1"/>
  <c r="D65" i="38"/>
  <c r="E65" i="38" s="1"/>
  <c r="H71" i="22"/>
  <c r="D72" i="22"/>
  <c r="E72" i="22" s="1"/>
  <c r="E73" i="22" s="1"/>
  <c r="G71" i="22"/>
  <c r="H72" i="3"/>
  <c r="G72" i="3"/>
  <c r="G73" i="3" s="1"/>
  <c r="H65" i="37"/>
  <c r="I65" i="37" s="1"/>
  <c r="D64" i="41"/>
  <c r="E64" i="41" s="1"/>
  <c r="G64" i="45"/>
  <c r="I64" i="45" s="1"/>
  <c r="F64" i="46"/>
  <c r="H64" i="46" s="1"/>
  <c r="B64" i="46"/>
  <c r="G64" i="38"/>
  <c r="I64" i="38" s="1"/>
  <c r="G63" i="40"/>
  <c r="I63" i="40" s="1"/>
  <c r="H62" i="43"/>
  <c r="I62" i="43" s="1"/>
  <c r="G146" i="13"/>
  <c r="D147" i="13"/>
  <c r="E147" i="13" s="1"/>
  <c r="E148" i="54" l="1"/>
  <c r="F148" i="54"/>
  <c r="B148" i="54"/>
  <c r="I147" i="54"/>
  <c r="H147" i="54"/>
  <c r="F152" i="55"/>
  <c r="B152" i="55"/>
  <c r="I151" i="55"/>
  <c r="H151" i="55"/>
  <c r="I64" i="48"/>
  <c r="G151" i="49"/>
  <c r="D152" i="49"/>
  <c r="B152" i="49" s="1"/>
  <c r="H151" i="48"/>
  <c r="I151" i="48"/>
  <c r="E152" i="48"/>
  <c r="F152" i="48" s="1"/>
  <c r="D66" i="47"/>
  <c r="E66" i="47" s="1"/>
  <c r="F66" i="47" s="1"/>
  <c r="G65" i="47"/>
  <c r="I65" i="47" s="1"/>
  <c r="H69" i="49"/>
  <c r="D70" i="49"/>
  <c r="G69" i="49"/>
  <c r="E65" i="48"/>
  <c r="F65" i="48" s="1"/>
  <c r="B65" i="48"/>
  <c r="I64" i="44"/>
  <c r="H64" i="13"/>
  <c r="G64" i="13"/>
  <c r="D65" i="13"/>
  <c r="I67" i="29"/>
  <c r="E65" i="44"/>
  <c r="F65" i="44" s="1"/>
  <c r="B65" i="44"/>
  <c r="I68" i="27"/>
  <c r="I71" i="22"/>
  <c r="I66" i="30"/>
  <c r="B69" i="27"/>
  <c r="F69" i="27"/>
  <c r="F64" i="41"/>
  <c r="G64" i="41" s="1"/>
  <c r="B64" i="41"/>
  <c r="F64" i="40"/>
  <c r="G64" i="40" s="1"/>
  <c r="B64" i="40"/>
  <c r="F70" i="24"/>
  <c r="B70" i="24"/>
  <c r="B63" i="43"/>
  <c r="F63" i="43"/>
  <c r="H63" i="43" s="1"/>
  <c r="B65" i="39"/>
  <c r="F65" i="39"/>
  <c r="G65" i="39" s="1"/>
  <c r="I67" i="31"/>
  <c r="B68" i="28"/>
  <c r="B68" i="29"/>
  <c r="F67" i="30"/>
  <c r="B67" i="30"/>
  <c r="I63" i="42"/>
  <c r="B71" i="23"/>
  <c r="F71" i="23"/>
  <c r="B65" i="38"/>
  <c r="F65" i="38"/>
  <c r="G65" i="38" s="1"/>
  <c r="I71" i="25"/>
  <c r="B65" i="45"/>
  <c r="B68" i="31"/>
  <c r="I67" i="28"/>
  <c r="I72" i="3"/>
  <c r="I73" i="3" s="1"/>
  <c r="H73" i="3"/>
  <c r="D65" i="46"/>
  <c r="G64" i="46"/>
  <c r="I64" i="46" s="1"/>
  <c r="F72" i="22"/>
  <c r="B72" i="22"/>
  <c r="F66" i="37"/>
  <c r="H66" i="37" s="1"/>
  <c r="B66" i="37"/>
  <c r="F72" i="25"/>
  <c r="B72" i="25"/>
  <c r="I70" i="23"/>
  <c r="I69" i="24"/>
  <c r="I72" i="4"/>
  <c r="I73" i="4" s="1"/>
  <c r="H73" i="4"/>
  <c r="E65" i="45"/>
  <c r="F65" i="45" s="1"/>
  <c r="I64" i="39"/>
  <c r="E68" i="31"/>
  <c r="F68" i="31" s="1"/>
  <c r="E68" i="28"/>
  <c r="F68" i="28" s="1"/>
  <c r="E68" i="29"/>
  <c r="F68" i="29" s="1"/>
  <c r="F64" i="42"/>
  <c r="H64" i="42" s="1"/>
  <c r="B64" i="42"/>
  <c r="F147" i="13"/>
  <c r="B147" i="13"/>
  <c r="H146" i="13"/>
  <c r="I146" i="13"/>
  <c r="D149" i="54" l="1"/>
  <c r="B149" i="54" s="1"/>
  <c r="G148" i="54"/>
  <c r="E149" i="54"/>
  <c r="F149" i="54" s="1"/>
  <c r="G152" i="55"/>
  <c r="D153" i="55"/>
  <c r="E152" i="49"/>
  <c r="F152" i="49" s="1"/>
  <c r="G152" i="49" s="1"/>
  <c r="I69" i="49"/>
  <c r="D153" i="49"/>
  <c r="B153" i="49" s="1"/>
  <c r="G152" i="48"/>
  <c r="D153" i="48"/>
  <c r="H151" i="49"/>
  <c r="I151" i="49"/>
  <c r="G65" i="48"/>
  <c r="D66" i="48"/>
  <c r="E66" i="48" s="1"/>
  <c r="F66" i="48" s="1"/>
  <c r="H65" i="48"/>
  <c r="H66" i="47"/>
  <c r="D67" i="47"/>
  <c r="E67" i="47" s="1"/>
  <c r="F67" i="47" s="1"/>
  <c r="E70" i="49"/>
  <c r="F70" i="49" s="1"/>
  <c r="H70" i="49" s="1"/>
  <c r="B70" i="49"/>
  <c r="B66" i="47"/>
  <c r="G66" i="47"/>
  <c r="I64" i="13"/>
  <c r="E65" i="13"/>
  <c r="F65" i="13" s="1"/>
  <c r="H65" i="13" s="1"/>
  <c r="B65" i="13"/>
  <c r="G66" i="37"/>
  <c r="I66" i="37" s="1"/>
  <c r="D66" i="44"/>
  <c r="H65" i="44"/>
  <c r="G65" i="44"/>
  <c r="G63" i="43"/>
  <c r="I63" i="43" s="1"/>
  <c r="H64" i="40"/>
  <c r="I64" i="40" s="1"/>
  <c r="H64" i="41"/>
  <c r="I64" i="41" s="1"/>
  <c r="G69" i="27"/>
  <c r="D70" i="27"/>
  <c r="E70" i="27" s="1"/>
  <c r="H69" i="27"/>
  <c r="H68" i="29"/>
  <c r="G68" i="29"/>
  <c r="D69" i="29"/>
  <c r="E69" i="29" s="1"/>
  <c r="D69" i="28"/>
  <c r="E69" i="28" s="1"/>
  <c r="G68" i="28"/>
  <c r="H68" i="28"/>
  <c r="D66" i="45"/>
  <c r="H65" i="45"/>
  <c r="G65" i="45"/>
  <c r="H68" i="31"/>
  <c r="D69" i="31"/>
  <c r="G68" i="31"/>
  <c r="D65" i="42"/>
  <c r="E65" i="42" s="1"/>
  <c r="H72" i="25"/>
  <c r="G72" i="25"/>
  <c r="G73" i="25" s="1"/>
  <c r="D67" i="37"/>
  <c r="G72" i="22"/>
  <c r="G73" i="22" s="1"/>
  <c r="H72" i="22"/>
  <c r="H65" i="38"/>
  <c r="I65" i="38" s="1"/>
  <c r="D66" i="39"/>
  <c r="E66" i="39" s="1"/>
  <c r="B65" i="46"/>
  <c r="G64" i="42"/>
  <c r="I64" i="42" s="1"/>
  <c r="H65" i="39"/>
  <c r="I65" i="39" s="1"/>
  <c r="D64" i="43"/>
  <c r="E64" i="43" s="1"/>
  <c r="H70" i="24"/>
  <c r="G70" i="24"/>
  <c r="D71" i="24"/>
  <c r="E71" i="24" s="1"/>
  <c r="D65" i="40"/>
  <c r="E65" i="40" s="1"/>
  <c r="D65" i="41"/>
  <c r="E65" i="41" s="1"/>
  <c r="E65" i="46"/>
  <c r="F65" i="46" s="1"/>
  <c r="D66" i="38"/>
  <c r="E66" i="38" s="1"/>
  <c r="G71" i="23"/>
  <c r="D72" i="23"/>
  <c r="E72" i="23" s="1"/>
  <c r="E73" i="23" s="1"/>
  <c r="H71" i="23"/>
  <c r="H67" i="30"/>
  <c r="D68" i="30"/>
  <c r="G67" i="30"/>
  <c r="D148" i="13"/>
  <c r="G147" i="13"/>
  <c r="E153" i="55" l="1"/>
  <c r="F153" i="55"/>
  <c r="B153" i="55"/>
  <c r="H152" i="55"/>
  <c r="I152" i="55"/>
  <c r="G149" i="54"/>
  <c r="D150" i="54"/>
  <c r="H148" i="54"/>
  <c r="I148" i="54"/>
  <c r="I65" i="48"/>
  <c r="E153" i="49"/>
  <c r="F153" i="49" s="1"/>
  <c r="D154" i="49" s="1"/>
  <c r="I66" i="47"/>
  <c r="I152" i="49"/>
  <c r="H152" i="49"/>
  <c r="G153" i="49"/>
  <c r="H152" i="48"/>
  <c r="I152" i="48"/>
  <c r="E153" i="48"/>
  <c r="F153" i="48" s="1"/>
  <c r="B153" i="48"/>
  <c r="H66" i="48"/>
  <c r="D67" i="48"/>
  <c r="G67" i="47"/>
  <c r="D68" i="47"/>
  <c r="E68" i="47" s="1"/>
  <c r="F68" i="47" s="1"/>
  <c r="G70" i="49"/>
  <c r="I70" i="49" s="1"/>
  <c r="D71" i="49"/>
  <c r="B67" i="47"/>
  <c r="H67" i="47"/>
  <c r="B66" i="48"/>
  <c r="G66" i="48"/>
  <c r="G65" i="13"/>
  <c r="I65" i="13" s="1"/>
  <c r="D66" i="13"/>
  <c r="I65" i="44"/>
  <c r="I68" i="28"/>
  <c r="E66" i="44"/>
  <c r="F66" i="44" s="1"/>
  <c r="B66" i="44"/>
  <c r="I71" i="23"/>
  <c r="F70" i="27"/>
  <c r="B70" i="27"/>
  <c r="I69" i="27"/>
  <c r="D66" i="46"/>
  <c r="E66" i="46" s="1"/>
  <c r="H65" i="46"/>
  <c r="G65" i="46"/>
  <c r="B68" i="30"/>
  <c r="I67" i="30"/>
  <c r="F65" i="40"/>
  <c r="H65" i="40" s="1"/>
  <c r="B65" i="40"/>
  <c r="I70" i="24"/>
  <c r="F66" i="39"/>
  <c r="G66" i="39" s="1"/>
  <c r="B66" i="39"/>
  <c r="B67" i="37"/>
  <c r="B69" i="31"/>
  <c r="I65" i="45"/>
  <c r="F69" i="29"/>
  <c r="B69" i="29"/>
  <c r="E68" i="30"/>
  <c r="F68" i="30" s="1"/>
  <c r="E67" i="37"/>
  <c r="F67" i="37" s="1"/>
  <c r="B65" i="42"/>
  <c r="F65" i="42"/>
  <c r="H65" i="42" s="1"/>
  <c r="I68" i="31"/>
  <c r="B66" i="45"/>
  <c r="B72" i="23"/>
  <c r="F72" i="23"/>
  <c r="I72" i="25"/>
  <c r="I73" i="25" s="1"/>
  <c r="H73" i="25"/>
  <c r="F66" i="38"/>
  <c r="H66" i="38" s="1"/>
  <c r="B66" i="38"/>
  <c r="B65" i="41"/>
  <c r="F65" i="41"/>
  <c r="G65" i="41" s="1"/>
  <c r="F71" i="24"/>
  <c r="B71" i="24"/>
  <c r="B64" i="43"/>
  <c r="F64" i="43"/>
  <c r="G64" i="43" s="1"/>
  <c r="I72" i="22"/>
  <c r="I73" i="22" s="1"/>
  <c r="H73" i="22"/>
  <c r="E69" i="31"/>
  <c r="F69" i="31" s="1"/>
  <c r="E66" i="45"/>
  <c r="F66" i="45" s="1"/>
  <c r="F69" i="28"/>
  <c r="B69" i="28"/>
  <c r="I68" i="29"/>
  <c r="I147" i="13"/>
  <c r="H147" i="13"/>
  <c r="B148" i="13"/>
  <c r="E148" i="13"/>
  <c r="F148" i="13" s="1"/>
  <c r="E150" i="54" l="1"/>
  <c r="F150" i="54"/>
  <c r="B150" i="54"/>
  <c r="I149" i="54"/>
  <c r="H149" i="54"/>
  <c r="G153" i="55"/>
  <c r="D154" i="55"/>
  <c r="I66" i="48"/>
  <c r="E154" i="49"/>
  <c r="B154" i="49"/>
  <c r="D154" i="48"/>
  <c r="G153" i="48"/>
  <c r="H153" i="49"/>
  <c r="I153" i="49"/>
  <c r="I67" i="47"/>
  <c r="E67" i="48"/>
  <c r="F67" i="48" s="1"/>
  <c r="B67" i="48"/>
  <c r="H68" i="47"/>
  <c r="D69" i="47"/>
  <c r="B71" i="49"/>
  <c r="E71" i="49"/>
  <c r="F71" i="49" s="1"/>
  <c r="D72" i="49" s="1"/>
  <c r="B68" i="47"/>
  <c r="G68" i="47"/>
  <c r="B66" i="13"/>
  <c r="E66" i="13"/>
  <c r="F66" i="13" s="1"/>
  <c r="G66" i="13" s="1"/>
  <c r="H66" i="44"/>
  <c r="D67" i="44"/>
  <c r="B67" i="44" s="1"/>
  <c r="G66" i="44"/>
  <c r="H64" i="43"/>
  <c r="I64" i="43" s="1"/>
  <c r="G66" i="38"/>
  <c r="I66" i="38" s="1"/>
  <c r="G70" i="27"/>
  <c r="D71" i="27"/>
  <c r="H70" i="27"/>
  <c r="G69" i="31"/>
  <c r="H69" i="31"/>
  <c r="D70" i="31"/>
  <c r="E70" i="31" s="1"/>
  <c r="H68" i="30"/>
  <c r="G68" i="30"/>
  <c r="D69" i="30"/>
  <c r="D68" i="37"/>
  <c r="E68" i="37" s="1"/>
  <c r="H67" i="37"/>
  <c r="G67" i="37"/>
  <c r="D67" i="45"/>
  <c r="E67" i="45" s="1"/>
  <c r="D70" i="29"/>
  <c r="E70" i="29" s="1"/>
  <c r="G69" i="29"/>
  <c r="H69" i="29"/>
  <c r="D66" i="42"/>
  <c r="E66" i="42" s="1"/>
  <c r="H66" i="39"/>
  <c r="I66" i="39" s="1"/>
  <c r="I65" i="46"/>
  <c r="D66" i="40"/>
  <c r="E66" i="40" s="1"/>
  <c r="D65" i="43"/>
  <c r="E65" i="43" s="1"/>
  <c r="H72" i="23"/>
  <c r="G72" i="23"/>
  <c r="G73" i="23" s="1"/>
  <c r="H66" i="45"/>
  <c r="G65" i="42"/>
  <c r="I65" i="42" s="1"/>
  <c r="G65" i="40"/>
  <c r="I65" i="40" s="1"/>
  <c r="H69" i="28"/>
  <c r="D70" i="28"/>
  <c r="E70" i="28" s="1"/>
  <c r="G69" i="28"/>
  <c r="D66" i="41"/>
  <c r="E66" i="41" s="1"/>
  <c r="D72" i="24"/>
  <c r="E72" i="24" s="1"/>
  <c r="E73" i="24" s="1"/>
  <c r="H71" i="24"/>
  <c r="G71" i="24"/>
  <c r="H65" i="41"/>
  <c r="I65" i="41" s="1"/>
  <c r="D67" i="38"/>
  <c r="G66" i="45"/>
  <c r="D67" i="39"/>
  <c r="E67" i="39" s="1"/>
  <c r="F66" i="46"/>
  <c r="B66" i="46"/>
  <c r="D149" i="13"/>
  <c r="G148" i="13"/>
  <c r="E154" i="55" l="1"/>
  <c r="E155" i="55" s="1"/>
  <c r="F154" i="55"/>
  <c r="G154" i="55" s="1"/>
  <c r="B154" i="55"/>
  <c r="H153" i="55"/>
  <c r="I153" i="55"/>
  <c r="D151" i="54"/>
  <c r="G150" i="54"/>
  <c r="G71" i="49"/>
  <c r="I68" i="47"/>
  <c r="H71" i="49"/>
  <c r="E154" i="48"/>
  <c r="B154" i="48"/>
  <c r="H153" i="48"/>
  <c r="I153" i="48"/>
  <c r="F154" i="49"/>
  <c r="G154" i="49" s="1"/>
  <c r="E155" i="49"/>
  <c r="B69" i="47"/>
  <c r="D68" i="48"/>
  <c r="E68" i="48" s="1"/>
  <c r="F68" i="48" s="1"/>
  <c r="H67" i="48"/>
  <c r="E72" i="49"/>
  <c r="E73" i="49" s="1"/>
  <c r="B72" i="49"/>
  <c r="E69" i="47"/>
  <c r="F69" i="47" s="1"/>
  <c r="G67" i="48"/>
  <c r="I66" i="44"/>
  <c r="D67" i="13"/>
  <c r="H66" i="13"/>
  <c r="I66" i="13" s="1"/>
  <c r="E67" i="44"/>
  <c r="F67" i="44" s="1"/>
  <c r="G67" i="44" s="1"/>
  <c r="I69" i="29"/>
  <c r="E71" i="27"/>
  <c r="F71" i="27" s="1"/>
  <c r="B71" i="27"/>
  <c r="I67" i="37"/>
  <c r="I71" i="24"/>
  <c r="I70" i="27"/>
  <c r="D67" i="46"/>
  <c r="B69" i="30"/>
  <c r="H66" i="46"/>
  <c r="F72" i="24"/>
  <c r="B72" i="24"/>
  <c r="I72" i="23"/>
  <c r="I73" i="23" s="1"/>
  <c r="H73" i="23"/>
  <c r="F66" i="40"/>
  <c r="B66" i="40"/>
  <c r="B70" i="31"/>
  <c r="F70" i="31"/>
  <c r="B67" i="38"/>
  <c r="F70" i="28"/>
  <c r="B70" i="28"/>
  <c r="F66" i="42"/>
  <c r="H66" i="42" s="1"/>
  <c r="B66" i="42"/>
  <c r="F67" i="45"/>
  <c r="B67" i="45"/>
  <c r="F68" i="37"/>
  <c r="H68" i="37" s="1"/>
  <c r="B68" i="37"/>
  <c r="I68" i="30"/>
  <c r="I69" i="31"/>
  <c r="G66" i="46"/>
  <c r="F67" i="39"/>
  <c r="G67" i="39" s="1"/>
  <c r="B67" i="39"/>
  <c r="E67" i="38"/>
  <c r="F67" i="38" s="1"/>
  <c r="F66" i="41"/>
  <c r="B66" i="41"/>
  <c r="I69" i="28"/>
  <c r="I66" i="45"/>
  <c r="F65" i="43"/>
  <c r="H65" i="43" s="1"/>
  <c r="B65" i="43"/>
  <c r="B70" i="29"/>
  <c r="F70" i="29"/>
  <c r="E69" i="30"/>
  <c r="F69" i="30" s="1"/>
  <c r="B149" i="13"/>
  <c r="E149" i="13"/>
  <c r="F149" i="13" s="1"/>
  <c r="I148" i="13"/>
  <c r="H148" i="13"/>
  <c r="I71" i="49" l="1"/>
  <c r="I150" i="54"/>
  <c r="H150" i="54"/>
  <c r="H154" i="55"/>
  <c r="H155" i="55" s="1"/>
  <c r="I154" i="55"/>
  <c r="I155" i="55" s="1"/>
  <c r="E151" i="54"/>
  <c r="F151" i="54" s="1"/>
  <c r="B151" i="54"/>
  <c r="I154" i="49"/>
  <c r="I155" i="49" s="1"/>
  <c r="H154" i="49"/>
  <c r="H155" i="49" s="1"/>
  <c r="F154" i="48"/>
  <c r="G154" i="48" s="1"/>
  <c r="E155" i="48"/>
  <c r="H68" i="48"/>
  <c r="D69" i="48"/>
  <c r="D70" i="47"/>
  <c r="E70" i="47" s="1"/>
  <c r="F70" i="47" s="1"/>
  <c r="I67" i="48"/>
  <c r="G69" i="47"/>
  <c r="H69" i="47"/>
  <c r="F72" i="49"/>
  <c r="B68" i="48"/>
  <c r="G68" i="48"/>
  <c r="E67" i="13"/>
  <c r="F67" i="13" s="1"/>
  <c r="H67" i="13" s="1"/>
  <c r="B67" i="13"/>
  <c r="H67" i="44"/>
  <c r="I67" i="44" s="1"/>
  <c r="D68" i="44"/>
  <c r="G66" i="42"/>
  <c r="I66" i="42" s="1"/>
  <c r="G71" i="27"/>
  <c r="D72" i="27"/>
  <c r="H71" i="27"/>
  <c r="H69" i="30"/>
  <c r="D70" i="30"/>
  <c r="G69" i="30"/>
  <c r="D68" i="38"/>
  <c r="D67" i="40"/>
  <c r="E67" i="40" s="1"/>
  <c r="G72" i="24"/>
  <c r="G73" i="24" s="1"/>
  <c r="H72" i="24"/>
  <c r="D71" i="29"/>
  <c r="G70" i="29"/>
  <c r="H70" i="29"/>
  <c r="D68" i="39"/>
  <c r="E68" i="39" s="1"/>
  <c r="G66" i="40"/>
  <c r="I66" i="46"/>
  <c r="D67" i="41"/>
  <c r="D68" i="45"/>
  <c r="E68" i="45" s="1"/>
  <c r="D66" i="43"/>
  <c r="G66" i="41"/>
  <c r="H67" i="45"/>
  <c r="G70" i="28"/>
  <c r="D71" i="28"/>
  <c r="E71" i="28" s="1"/>
  <c r="H70" i="28"/>
  <c r="G67" i="38"/>
  <c r="H66" i="40"/>
  <c r="B67" i="46"/>
  <c r="D69" i="37"/>
  <c r="G65" i="43"/>
  <c r="I65" i="43" s="1"/>
  <c r="H66" i="41"/>
  <c r="H67" i="39"/>
  <c r="I67" i="39" s="1"/>
  <c r="G68" i="37"/>
  <c r="I68" i="37" s="1"/>
  <c r="G67" i="45"/>
  <c r="D67" i="42"/>
  <c r="E67" i="42" s="1"/>
  <c r="H67" i="38"/>
  <c r="G70" i="31"/>
  <c r="H70" i="31"/>
  <c r="D71" i="31"/>
  <c r="E71" i="31" s="1"/>
  <c r="E67" i="46"/>
  <c r="F67" i="46" s="1"/>
  <c r="D150" i="13"/>
  <c r="G149" i="13"/>
  <c r="D152" i="54" l="1"/>
  <c r="G151" i="54"/>
  <c r="I68" i="48"/>
  <c r="H154" i="48"/>
  <c r="H155" i="48" s="1"/>
  <c r="I154" i="48"/>
  <c r="I155" i="48" s="1"/>
  <c r="H72" i="49"/>
  <c r="G72" i="49"/>
  <c r="G73" i="49" s="1"/>
  <c r="H70" i="47"/>
  <c r="D71" i="47"/>
  <c r="I69" i="47"/>
  <c r="B70" i="47"/>
  <c r="G70" i="47"/>
  <c r="E69" i="48"/>
  <c r="F69" i="48" s="1"/>
  <c r="G69" i="48" s="1"/>
  <c r="B69" i="48"/>
  <c r="D68" i="13"/>
  <c r="G67" i="13"/>
  <c r="I67" i="13" s="1"/>
  <c r="E68" i="44"/>
  <c r="F68" i="44" s="1"/>
  <c r="B68" i="44"/>
  <c r="I66" i="40"/>
  <c r="I69" i="30"/>
  <c r="I66" i="41"/>
  <c r="B72" i="27"/>
  <c r="E72" i="27"/>
  <c r="E73" i="27" s="1"/>
  <c r="I71" i="27"/>
  <c r="D68" i="46"/>
  <c r="E68" i="46" s="1"/>
  <c r="G67" i="46"/>
  <c r="H67" i="46"/>
  <c r="B67" i="41"/>
  <c r="B70" i="30"/>
  <c r="I67" i="38"/>
  <c r="I67" i="45"/>
  <c r="F68" i="39"/>
  <c r="B68" i="39"/>
  <c r="B71" i="29"/>
  <c r="B69" i="37"/>
  <c r="B71" i="31"/>
  <c r="F71" i="31"/>
  <c r="I70" i="28"/>
  <c r="B68" i="45"/>
  <c r="F68" i="45"/>
  <c r="H68" i="45" s="1"/>
  <c r="E71" i="29"/>
  <c r="F71" i="29" s="1"/>
  <c r="B67" i="40"/>
  <c r="F67" i="40"/>
  <c r="H67" i="40" s="1"/>
  <c r="E70" i="30"/>
  <c r="F70" i="30" s="1"/>
  <c r="B66" i="43"/>
  <c r="B68" i="38"/>
  <c r="I70" i="31"/>
  <c r="B67" i="42"/>
  <c r="F67" i="42"/>
  <c r="H67" i="42" s="1"/>
  <c r="E69" i="37"/>
  <c r="F69" i="37" s="1"/>
  <c r="B71" i="28"/>
  <c r="F71" i="28"/>
  <c r="E66" i="43"/>
  <c r="F66" i="43" s="1"/>
  <c r="E67" i="41"/>
  <c r="F67" i="41" s="1"/>
  <c r="I70" i="29"/>
  <c r="I72" i="24"/>
  <c r="I73" i="24" s="1"/>
  <c r="H73" i="24"/>
  <c r="E68" i="38"/>
  <c r="F68" i="38" s="1"/>
  <c r="B150" i="13"/>
  <c r="H149" i="13"/>
  <c r="I149" i="13"/>
  <c r="E150" i="13"/>
  <c r="F150" i="13" s="1"/>
  <c r="I151" i="54" l="1"/>
  <c r="H151" i="54"/>
  <c r="E152" i="54"/>
  <c r="B152" i="54"/>
  <c r="F152" i="54"/>
  <c r="I70" i="47"/>
  <c r="B71" i="47"/>
  <c r="D70" i="48"/>
  <c r="H69" i="48"/>
  <c r="I69" i="48" s="1"/>
  <c r="E71" i="47"/>
  <c r="F71" i="47" s="1"/>
  <c r="I72" i="49"/>
  <c r="I73" i="49" s="1"/>
  <c r="H73" i="49"/>
  <c r="E68" i="13"/>
  <c r="F68" i="13" s="1"/>
  <c r="B68" i="13"/>
  <c r="H68" i="44"/>
  <c r="G68" i="44"/>
  <c r="D69" i="44"/>
  <c r="I67" i="46"/>
  <c r="G68" i="45"/>
  <c r="I68" i="45" s="1"/>
  <c r="F72" i="27"/>
  <c r="G70" i="30"/>
  <c r="H70" i="30"/>
  <c r="D71" i="30"/>
  <c r="E71" i="30" s="1"/>
  <c r="D67" i="43"/>
  <c r="E67" i="43" s="1"/>
  <c r="H66" i="43"/>
  <c r="G66" i="43"/>
  <c r="D72" i="29"/>
  <c r="E72" i="29" s="1"/>
  <c r="E73" i="29" s="1"/>
  <c r="H71" i="29"/>
  <c r="G71" i="29"/>
  <c r="D69" i="38"/>
  <c r="E69" i="38" s="1"/>
  <c r="H68" i="38"/>
  <c r="G68" i="38"/>
  <c r="D68" i="41"/>
  <c r="E68" i="41" s="1"/>
  <c r="G67" i="41"/>
  <c r="H67" i="41"/>
  <c r="D70" i="37"/>
  <c r="E70" i="37" s="1"/>
  <c r="G69" i="37"/>
  <c r="H69" i="37"/>
  <c r="D68" i="40"/>
  <c r="E68" i="40" s="1"/>
  <c r="D69" i="39"/>
  <c r="H71" i="28"/>
  <c r="G71" i="28"/>
  <c r="D72" i="28"/>
  <c r="D68" i="42"/>
  <c r="E68" i="42" s="1"/>
  <c r="G68" i="39"/>
  <c r="G67" i="42"/>
  <c r="I67" i="42" s="1"/>
  <c r="G67" i="40"/>
  <c r="I67" i="40" s="1"/>
  <c r="D69" i="45"/>
  <c r="G71" i="31"/>
  <c r="D72" i="31"/>
  <c r="E72" i="31" s="1"/>
  <c r="E73" i="31" s="1"/>
  <c r="H71" i="31"/>
  <c r="H68" i="39"/>
  <c r="F68" i="46"/>
  <c r="H68" i="46" s="1"/>
  <c r="B68" i="46"/>
  <c r="G150" i="13"/>
  <c r="D151" i="13"/>
  <c r="G152" i="54" l="1"/>
  <c r="D153" i="54"/>
  <c r="B70" i="48"/>
  <c r="D72" i="47"/>
  <c r="E72" i="47" s="1"/>
  <c r="E73" i="47" s="1"/>
  <c r="G71" i="47"/>
  <c r="H71" i="47"/>
  <c r="E70" i="48"/>
  <c r="F70" i="48" s="1"/>
  <c r="H68" i="13"/>
  <c r="D69" i="13"/>
  <c r="G68" i="13"/>
  <c r="I68" i="44"/>
  <c r="I67" i="41"/>
  <c r="E69" i="44"/>
  <c r="F69" i="44" s="1"/>
  <c r="B69" i="44"/>
  <c r="I68" i="39"/>
  <c r="I70" i="30"/>
  <c r="I69" i="37"/>
  <c r="I71" i="28"/>
  <c r="H72" i="27"/>
  <c r="G72" i="27"/>
  <c r="G73" i="27" s="1"/>
  <c r="B69" i="45"/>
  <c r="B69" i="39"/>
  <c r="G68" i="46"/>
  <c r="I68" i="46" s="1"/>
  <c r="I68" i="38"/>
  <c r="I66" i="43"/>
  <c r="F71" i="30"/>
  <c r="B71" i="30"/>
  <c r="I71" i="31"/>
  <c r="F68" i="42"/>
  <c r="H68" i="42" s="1"/>
  <c r="B68" i="42"/>
  <c r="B68" i="40"/>
  <c r="F68" i="40"/>
  <c r="H68" i="40" s="1"/>
  <c r="I71" i="29"/>
  <c r="B72" i="28"/>
  <c r="D69" i="46"/>
  <c r="E69" i="46" s="1"/>
  <c r="F72" i="31"/>
  <c r="B72" i="31"/>
  <c r="E69" i="45"/>
  <c r="F69" i="45" s="1"/>
  <c r="E72" i="28"/>
  <c r="E73" i="28" s="1"/>
  <c r="E69" i="39"/>
  <c r="F69" i="39" s="1"/>
  <c r="B70" i="37"/>
  <c r="F70" i="37"/>
  <c r="G70" i="37" s="1"/>
  <c r="B68" i="41"/>
  <c r="F68" i="41"/>
  <c r="H68" i="41" s="1"/>
  <c r="B69" i="38"/>
  <c r="F69" i="38"/>
  <c r="F72" i="29"/>
  <c r="B72" i="29"/>
  <c r="B67" i="43"/>
  <c r="F67" i="43"/>
  <c r="H67" i="43" s="1"/>
  <c r="B151" i="13"/>
  <c r="H150" i="13"/>
  <c r="I150" i="13"/>
  <c r="E151" i="13"/>
  <c r="F151" i="13" s="1"/>
  <c r="B153" i="54" l="1"/>
  <c r="E153" i="54"/>
  <c r="F153" i="54" s="1"/>
  <c r="H152" i="54"/>
  <c r="I152" i="54"/>
  <c r="I71" i="47"/>
  <c r="H70" i="48"/>
  <c r="D71" i="48"/>
  <c r="E71" i="48" s="1"/>
  <c r="F71" i="48" s="1"/>
  <c r="B72" i="47"/>
  <c r="F72" i="47"/>
  <c r="G72" i="47" s="1"/>
  <c r="G73" i="47" s="1"/>
  <c r="G70" i="48"/>
  <c r="E69" i="13"/>
  <c r="F69" i="13" s="1"/>
  <c r="B69" i="13"/>
  <c r="I68" i="13"/>
  <c r="H69" i="44"/>
  <c r="D70" i="44"/>
  <c r="G69" i="44"/>
  <c r="H70" i="37"/>
  <c r="I70" i="37" s="1"/>
  <c r="G68" i="40"/>
  <c r="I68" i="40" s="1"/>
  <c r="G67" i="43"/>
  <c r="I67" i="43" s="1"/>
  <c r="H73" i="27"/>
  <c r="I72" i="27"/>
  <c r="I73" i="27" s="1"/>
  <c r="G68" i="42"/>
  <c r="I68" i="42" s="1"/>
  <c r="D70" i="45"/>
  <c r="E70" i="45" s="1"/>
  <c r="H69" i="45"/>
  <c r="G69" i="45"/>
  <c r="D70" i="39"/>
  <c r="E70" i="39" s="1"/>
  <c r="G69" i="39"/>
  <c r="H69" i="39"/>
  <c r="D69" i="41"/>
  <c r="D70" i="38"/>
  <c r="E70" i="38" s="1"/>
  <c r="D68" i="43"/>
  <c r="E68" i="43" s="1"/>
  <c r="H69" i="38"/>
  <c r="G68" i="41"/>
  <c r="I68" i="41" s="1"/>
  <c r="D71" i="37"/>
  <c r="E71" i="37" s="1"/>
  <c r="H72" i="31"/>
  <c r="G72" i="31"/>
  <c r="G73" i="31" s="1"/>
  <c r="F72" i="28"/>
  <c r="D69" i="40"/>
  <c r="E69" i="40" s="1"/>
  <c r="G72" i="29"/>
  <c r="G73" i="29" s="1"/>
  <c r="H72" i="29"/>
  <c r="G69" i="38"/>
  <c r="B69" i="46"/>
  <c r="F69" i="46"/>
  <c r="G69" i="46" s="1"/>
  <c r="D69" i="42"/>
  <c r="E69" i="42" s="1"/>
  <c r="H71" i="30"/>
  <c r="G71" i="30"/>
  <c r="D72" i="30"/>
  <c r="E72" i="30" s="1"/>
  <c r="E73" i="30" s="1"/>
  <c r="D152" i="13"/>
  <c r="G151" i="13"/>
  <c r="D154" i="54" l="1"/>
  <c r="G153" i="54"/>
  <c r="H72" i="47"/>
  <c r="I72" i="47" s="1"/>
  <c r="I73" i="47" s="1"/>
  <c r="I70" i="48"/>
  <c r="H73" i="47"/>
  <c r="D72" i="48"/>
  <c r="E72" i="48" s="1"/>
  <c r="E73" i="48" s="1"/>
  <c r="B71" i="48"/>
  <c r="G71" i="48"/>
  <c r="H71" i="48"/>
  <c r="I69" i="44"/>
  <c r="G69" i="13"/>
  <c r="D70" i="13"/>
  <c r="H69" i="13"/>
  <c r="E70" i="44"/>
  <c r="F70" i="44" s="1"/>
  <c r="B70" i="44"/>
  <c r="I69" i="39"/>
  <c r="H69" i="46"/>
  <c r="I69" i="46" s="1"/>
  <c r="I71" i="30"/>
  <c r="I72" i="31"/>
  <c r="I73" i="31" s="1"/>
  <c r="H73" i="31"/>
  <c r="I69" i="38"/>
  <c r="F70" i="38"/>
  <c r="H70" i="38" s="1"/>
  <c r="B70" i="38"/>
  <c r="I69" i="45"/>
  <c r="B69" i="41"/>
  <c r="D70" i="46"/>
  <c r="E70" i="46" s="1"/>
  <c r="I72" i="29"/>
  <c r="I73" i="29" s="1"/>
  <c r="H73" i="29"/>
  <c r="B69" i="40"/>
  <c r="F69" i="40"/>
  <c r="B72" i="30"/>
  <c r="F72" i="30"/>
  <c r="F69" i="42"/>
  <c r="G69" i="42" s="1"/>
  <c r="B69" i="42"/>
  <c r="H72" i="28"/>
  <c r="G72" i="28"/>
  <c r="G73" i="28" s="1"/>
  <c r="B71" i="37"/>
  <c r="F71" i="37"/>
  <c r="G71" i="37" s="1"/>
  <c r="B68" i="43"/>
  <c r="F68" i="43"/>
  <c r="G68" i="43" s="1"/>
  <c r="E69" i="41"/>
  <c r="F69" i="41" s="1"/>
  <c r="B70" i="39"/>
  <c r="F70" i="39"/>
  <c r="G70" i="39" s="1"/>
  <c r="F70" i="45"/>
  <c r="H70" i="45" s="1"/>
  <c r="B70" i="45"/>
  <c r="B152" i="13"/>
  <c r="H151" i="13"/>
  <c r="I151" i="13"/>
  <c r="E152" i="13"/>
  <c r="F152" i="13" s="1"/>
  <c r="H153" i="54" l="1"/>
  <c r="I153" i="54"/>
  <c r="E154" i="54"/>
  <c r="E155" i="54" s="1"/>
  <c r="F154" i="54"/>
  <c r="G154" i="54" s="1"/>
  <c r="B154" i="54"/>
  <c r="I71" i="48"/>
  <c r="B72" i="48"/>
  <c r="F72" i="48"/>
  <c r="G72" i="48" s="1"/>
  <c r="G73" i="48" s="1"/>
  <c r="I69" i="13"/>
  <c r="B70" i="13"/>
  <c r="E70" i="13"/>
  <c r="F70" i="13" s="1"/>
  <c r="G70" i="13" s="1"/>
  <c r="G70" i="38"/>
  <c r="I70" i="38" s="1"/>
  <c r="H70" i="44"/>
  <c r="D71" i="44"/>
  <c r="G70" i="44"/>
  <c r="H70" i="39"/>
  <c r="I70" i="39" s="1"/>
  <c r="H68" i="43"/>
  <c r="I68" i="43" s="1"/>
  <c r="H71" i="37"/>
  <c r="I71" i="37" s="1"/>
  <c r="D71" i="45"/>
  <c r="E71" i="45" s="1"/>
  <c r="H72" i="30"/>
  <c r="G72" i="30"/>
  <c r="G73" i="30" s="1"/>
  <c r="I72" i="28"/>
  <c r="I73" i="28" s="1"/>
  <c r="H73" i="28"/>
  <c r="D70" i="40"/>
  <c r="E70" i="40" s="1"/>
  <c r="D70" i="41"/>
  <c r="E70" i="41" s="1"/>
  <c r="G69" i="40"/>
  <c r="B70" i="46"/>
  <c r="F70" i="46"/>
  <c r="H70" i="46" s="1"/>
  <c r="G69" i="41"/>
  <c r="D70" i="42"/>
  <c r="G70" i="45"/>
  <c r="I70" i="45" s="1"/>
  <c r="D71" i="39"/>
  <c r="E71" i="39" s="1"/>
  <c r="D69" i="43"/>
  <c r="E69" i="43" s="1"/>
  <c r="D72" i="37"/>
  <c r="H69" i="42"/>
  <c r="I69" i="42" s="1"/>
  <c r="H69" i="40"/>
  <c r="H69" i="41"/>
  <c r="D71" i="38"/>
  <c r="E71" i="38" s="1"/>
  <c r="D153" i="13"/>
  <c r="E153" i="13" s="1"/>
  <c r="G152" i="13"/>
  <c r="I154" i="54" l="1"/>
  <c r="I155" i="54" s="1"/>
  <c r="H154" i="54"/>
  <c r="H155" i="54" s="1"/>
  <c r="H72" i="48"/>
  <c r="I72" i="48" s="1"/>
  <c r="I73" i="48" s="1"/>
  <c r="I70" i="44"/>
  <c r="H70" i="13"/>
  <c r="I70" i="13" s="1"/>
  <c r="D71" i="13"/>
  <c r="E71" i="44"/>
  <c r="F71" i="44" s="1"/>
  <c r="B71" i="44"/>
  <c r="I69" i="41"/>
  <c r="I69" i="40"/>
  <c r="G70" i="46"/>
  <c r="I70" i="46" s="1"/>
  <c r="F71" i="39"/>
  <c r="G71" i="39" s="1"/>
  <c r="B71" i="39"/>
  <c r="F70" i="41"/>
  <c r="H70" i="41" s="1"/>
  <c r="B70" i="41"/>
  <c r="B70" i="42"/>
  <c r="B69" i="43"/>
  <c r="F69" i="43"/>
  <c r="H69" i="43" s="1"/>
  <c r="F71" i="45"/>
  <c r="B71" i="45"/>
  <c r="B72" i="37"/>
  <c r="I72" i="30"/>
  <c r="I73" i="30" s="1"/>
  <c r="H73" i="30"/>
  <c r="F71" i="38"/>
  <c r="H71" i="38" s="1"/>
  <c r="B71" i="38"/>
  <c r="E72" i="37"/>
  <c r="E73" i="37" s="1"/>
  <c r="E70" i="42"/>
  <c r="F70" i="42" s="1"/>
  <c r="G70" i="42" s="1"/>
  <c r="D71" i="46"/>
  <c r="F70" i="40"/>
  <c r="G70" i="40" s="1"/>
  <c r="B70" i="40"/>
  <c r="I152" i="13"/>
  <c r="H152" i="13"/>
  <c r="B153" i="13"/>
  <c r="F153" i="13"/>
  <c r="H73" i="48" l="1"/>
  <c r="G70" i="41"/>
  <c r="I70" i="41" s="1"/>
  <c r="B71" i="13"/>
  <c r="E71" i="13"/>
  <c r="F71" i="13" s="1"/>
  <c r="G71" i="13" s="1"/>
  <c r="H71" i="44"/>
  <c r="D72" i="44"/>
  <c r="G71" i="44"/>
  <c r="H71" i="39"/>
  <c r="I71" i="39" s="1"/>
  <c r="H70" i="40"/>
  <c r="I70" i="40" s="1"/>
  <c r="G69" i="43"/>
  <c r="I69" i="43" s="1"/>
  <c r="D72" i="45"/>
  <c r="E72" i="45" s="1"/>
  <c r="E73" i="45" s="1"/>
  <c r="B71" i="46"/>
  <c r="F72" i="37"/>
  <c r="G71" i="45"/>
  <c r="D72" i="38"/>
  <c r="E72" i="38" s="1"/>
  <c r="E73" i="38" s="1"/>
  <c r="D71" i="42"/>
  <c r="E71" i="42" s="1"/>
  <c r="E71" i="46"/>
  <c r="F71" i="46" s="1"/>
  <c r="H71" i="45"/>
  <c r="D70" i="43"/>
  <c r="E70" i="43" s="1"/>
  <c r="D71" i="40"/>
  <c r="G71" i="38"/>
  <c r="I71" i="38" s="1"/>
  <c r="H70" i="42"/>
  <c r="I70" i="42" s="1"/>
  <c r="D71" i="41"/>
  <c r="D72" i="39"/>
  <c r="E72" i="39" s="1"/>
  <c r="E73" i="39" s="1"/>
  <c r="D154" i="13"/>
  <c r="E154" i="13" s="1"/>
  <c r="E155" i="13" s="1"/>
  <c r="G153" i="13"/>
  <c r="I71" i="44" l="1"/>
  <c r="H71" i="13"/>
  <c r="I71" i="13" s="1"/>
  <c r="D72" i="13"/>
  <c r="E72" i="44"/>
  <c r="E73" i="44" s="1"/>
  <c r="B72" i="44"/>
  <c r="I71" i="45"/>
  <c r="B71" i="40"/>
  <c r="D72" i="46"/>
  <c r="F72" i="38"/>
  <c r="H72" i="38" s="1"/>
  <c r="B72" i="38"/>
  <c r="H71" i="46"/>
  <c r="B71" i="41"/>
  <c r="H72" i="37"/>
  <c r="G72" i="37"/>
  <c r="G73" i="37" s="1"/>
  <c r="B72" i="39"/>
  <c r="F72" i="39"/>
  <c r="G72" i="39" s="1"/>
  <c r="G73" i="39" s="1"/>
  <c r="F72" i="45"/>
  <c r="H72" i="45" s="1"/>
  <c r="B72" i="45"/>
  <c r="E71" i="41"/>
  <c r="F71" i="41" s="1"/>
  <c r="E71" i="40"/>
  <c r="F71" i="40" s="1"/>
  <c r="F70" i="43"/>
  <c r="H70" i="43" s="1"/>
  <c r="B70" i="43"/>
  <c r="F71" i="42"/>
  <c r="G71" i="42" s="1"/>
  <c r="B71" i="42"/>
  <c r="G71" i="46"/>
  <c r="I153" i="13"/>
  <c r="H153" i="13"/>
  <c r="F154" i="13"/>
  <c r="G154" i="13" s="1"/>
  <c r="B154" i="13"/>
  <c r="B72" i="13" l="1"/>
  <c r="E72" i="13"/>
  <c r="E73" i="13" s="1"/>
  <c r="F72" i="44"/>
  <c r="G72" i="44" s="1"/>
  <c r="G73" i="44" s="1"/>
  <c r="G72" i="45"/>
  <c r="G73" i="45" s="1"/>
  <c r="H71" i="42"/>
  <c r="I71" i="42" s="1"/>
  <c r="G70" i="43"/>
  <c r="I70" i="43" s="1"/>
  <c r="H72" i="39"/>
  <c r="I72" i="39" s="1"/>
  <c r="I73" i="39" s="1"/>
  <c r="D72" i="40"/>
  <c r="E72" i="40" s="1"/>
  <c r="E73" i="40" s="1"/>
  <c r="G71" i="40"/>
  <c r="H71" i="40"/>
  <c r="D72" i="41"/>
  <c r="E72" i="41" s="1"/>
  <c r="E73" i="41" s="1"/>
  <c r="H71" i="41"/>
  <c r="G71" i="41"/>
  <c r="H73" i="38"/>
  <c r="D72" i="42"/>
  <c r="E72" i="42" s="1"/>
  <c r="E73" i="42" s="1"/>
  <c r="D71" i="43"/>
  <c r="E71" i="43" s="1"/>
  <c r="I71" i="46"/>
  <c r="G72" i="38"/>
  <c r="G73" i="38" s="1"/>
  <c r="H73" i="45"/>
  <c r="I72" i="37"/>
  <c r="I73" i="37" s="1"/>
  <c r="H73" i="37"/>
  <c r="B72" i="46"/>
  <c r="E72" i="46"/>
  <c r="E73" i="46" s="1"/>
  <c r="H154" i="13"/>
  <c r="H155" i="13" s="1"/>
  <c r="I154" i="13"/>
  <c r="I155" i="13" s="1"/>
  <c r="F72" i="13" l="1"/>
  <c r="I72" i="45"/>
  <c r="I73" i="45" s="1"/>
  <c r="H72" i="44"/>
  <c r="H73" i="44" s="1"/>
  <c r="H73" i="39"/>
  <c r="F72" i="46"/>
  <c r="G72" i="46" s="1"/>
  <c r="G73" i="46" s="1"/>
  <c r="I71" i="40"/>
  <c r="F71" i="43"/>
  <c r="H71" i="43" s="1"/>
  <c r="B71" i="43"/>
  <c r="I71" i="41"/>
  <c r="F72" i="42"/>
  <c r="H72" i="42" s="1"/>
  <c r="B72" i="42"/>
  <c r="I72" i="38"/>
  <c r="I73" i="38" s="1"/>
  <c r="B72" i="41"/>
  <c r="F72" i="41"/>
  <c r="H72" i="41" s="1"/>
  <c r="B72" i="40"/>
  <c r="F72" i="40"/>
  <c r="H72" i="40" s="1"/>
  <c r="H72" i="46" l="1"/>
  <c r="H73" i="46" s="1"/>
  <c r="I72" i="44"/>
  <c r="I73" i="44" s="1"/>
  <c r="G72" i="13"/>
  <c r="G73" i="13" s="1"/>
  <c r="H72" i="13"/>
  <c r="G71" i="43"/>
  <c r="I71" i="43" s="1"/>
  <c r="G72" i="40"/>
  <c r="G73" i="40" s="1"/>
  <c r="G72" i="41"/>
  <c r="G73" i="41" s="1"/>
  <c r="G72" i="42"/>
  <c r="G73" i="42" s="1"/>
  <c r="H73" i="42"/>
  <c r="H73" i="41"/>
  <c r="H73" i="40"/>
  <c r="D72" i="43"/>
  <c r="E72" i="43" s="1"/>
  <c r="E73" i="43" s="1"/>
  <c r="I72" i="46" l="1"/>
  <c r="I73" i="46" s="1"/>
  <c r="I72" i="13"/>
  <c r="I73" i="13" s="1"/>
  <c r="H73" i="13"/>
  <c r="I72" i="41"/>
  <c r="I73" i="41" s="1"/>
  <c r="I72" i="40"/>
  <c r="I73" i="40" s="1"/>
  <c r="I72" i="42"/>
  <c r="I73" i="42" s="1"/>
  <c r="F72" i="43"/>
  <c r="G72" i="43" s="1"/>
  <c r="G73" i="43" s="1"/>
  <c r="B72" i="43"/>
  <c r="F90" i="2"/>
  <c r="F91" i="2" s="1"/>
  <c r="F92" i="2" s="1"/>
  <c r="F93" i="2" s="1"/>
  <c r="D95" i="47" l="1"/>
  <c r="J96" i="47" s="1"/>
  <c r="D95" i="49"/>
  <c r="D95" i="48"/>
  <c r="H72" i="43"/>
  <c r="I72" i="43" s="1"/>
  <c r="I73" i="43" s="1"/>
  <c r="D95" i="44"/>
  <c r="J96" i="44" s="1"/>
  <c r="D95" i="13"/>
  <c r="D95" i="38"/>
  <c r="J96" i="38" s="1"/>
  <c r="D95" i="45"/>
  <c r="J96" i="45" s="1"/>
  <c r="D95" i="46"/>
  <c r="J96" i="46" s="1"/>
  <c r="D95" i="42"/>
  <c r="J96" i="42" s="1"/>
  <c r="D95" i="41"/>
  <c r="J96" i="41" s="1"/>
  <c r="D95" i="11"/>
  <c r="J96" i="11" s="1"/>
  <c r="D95" i="25"/>
  <c r="J96" i="25" s="1"/>
  <c r="D95" i="23"/>
  <c r="J96" i="23" s="1"/>
  <c r="D95" i="9"/>
  <c r="J96" i="9" s="1"/>
  <c r="D95" i="7"/>
  <c r="J96" i="7" s="1"/>
  <c r="D95" i="24"/>
  <c r="J96" i="24" s="1"/>
  <c r="D95" i="6"/>
  <c r="J96" i="6" s="1"/>
  <c r="D95" i="29"/>
  <c r="J96" i="29" s="1"/>
  <c r="D95" i="22"/>
  <c r="J96" i="22" s="1"/>
  <c r="D95" i="10"/>
  <c r="J96" i="10" s="1"/>
  <c r="D95" i="40"/>
  <c r="J96" i="40" s="1"/>
  <c r="D95" i="28"/>
  <c r="J96" i="28" s="1"/>
  <c r="D95" i="43"/>
  <c r="J96" i="43" s="1"/>
  <c r="D95" i="27"/>
  <c r="J96" i="27" s="1"/>
  <c r="D95" i="3"/>
  <c r="J96" i="3" s="1"/>
  <c r="D95" i="31"/>
  <c r="J96" i="31" s="1"/>
  <c r="D95" i="8"/>
  <c r="J96" i="8" s="1"/>
  <c r="D95" i="5"/>
  <c r="J96" i="5" s="1"/>
  <c r="D95" i="4"/>
  <c r="J96" i="4" s="1"/>
  <c r="D95" i="37"/>
  <c r="J96" i="37" s="1"/>
  <c r="D95" i="39"/>
  <c r="J96" i="39" s="1"/>
  <c r="D95" i="30"/>
  <c r="J96" i="30" s="1"/>
  <c r="B100" i="44" l="1"/>
  <c r="B100" i="45"/>
  <c r="H73" i="43"/>
  <c r="N100" i="38"/>
  <c r="O100" i="38" s="1"/>
  <c r="L100" i="38"/>
  <c r="M100" i="38" s="1"/>
  <c r="B100" i="42"/>
  <c r="B100" i="43"/>
  <c r="B100" i="41"/>
  <c r="D101" i="47" l="1"/>
  <c r="E101" i="47" s="1"/>
  <c r="B100" i="46"/>
  <c r="J99" i="45"/>
  <c r="P100" i="38"/>
  <c r="J99" i="41"/>
  <c r="J99" i="43"/>
  <c r="F101" i="47" l="1"/>
  <c r="B101" i="47"/>
  <c r="B101" i="45"/>
  <c r="J99" i="46"/>
  <c r="J99" i="44"/>
  <c r="B101" i="42"/>
  <c r="B101" i="44"/>
  <c r="J99" i="42"/>
  <c r="B101" i="41"/>
  <c r="B101" i="38"/>
  <c r="J100" i="47" l="1"/>
  <c r="G101" i="47"/>
  <c r="D102" i="47"/>
  <c r="E102" i="47" s="1"/>
  <c r="B101" i="46"/>
  <c r="J100" i="45"/>
  <c r="J100" i="44"/>
  <c r="J100" i="38"/>
  <c r="J100" i="42"/>
  <c r="J100" i="41"/>
  <c r="B106" i="24"/>
  <c r="B101" i="37"/>
  <c r="B111" i="11"/>
  <c r="B107" i="23"/>
  <c r="B104" i="31"/>
  <c r="B100" i="40"/>
  <c r="B109" i="5"/>
  <c r="B105" i="27"/>
  <c r="B108" i="22"/>
  <c r="B109" i="3"/>
  <c r="B104" i="29"/>
  <c r="B110" i="8"/>
  <c r="B101" i="39"/>
  <c r="B103" i="30"/>
  <c r="B110" i="6"/>
  <c r="B101" i="43"/>
  <c r="B109" i="4"/>
  <c r="B111" i="9"/>
  <c r="B104" i="28"/>
  <c r="B108" i="25"/>
  <c r="B112" i="10"/>
  <c r="B112" i="7"/>
  <c r="B102" i="45" l="1"/>
  <c r="B102" i="47"/>
  <c r="F102" i="47"/>
  <c r="H101" i="47"/>
  <c r="I101" i="47"/>
  <c r="B102" i="44"/>
  <c r="B102" i="38"/>
  <c r="B102" i="42"/>
  <c r="B102" i="41"/>
  <c r="J100" i="43"/>
  <c r="J102" i="30"/>
  <c r="J103" i="29"/>
  <c r="J108" i="3"/>
  <c r="J100" i="37"/>
  <c r="J107" i="25"/>
  <c r="J103" i="28"/>
  <c r="J99" i="40"/>
  <c r="J100" i="39"/>
  <c r="J107" i="22"/>
  <c r="J109" i="8"/>
  <c r="J103" i="31"/>
  <c r="J111" i="7"/>
  <c r="J111" i="10"/>
  <c r="J110" i="9"/>
  <c r="J109" i="6"/>
  <c r="J105" i="24"/>
  <c r="J104" i="27"/>
  <c r="J106" i="23"/>
  <c r="J110" i="11"/>
  <c r="J108" i="5"/>
  <c r="J108" i="4"/>
  <c r="D102" i="46" l="1"/>
  <c r="B102" i="46" s="1"/>
  <c r="J101" i="45"/>
  <c r="E102" i="46"/>
  <c r="F102" i="46" s="1"/>
  <c r="G102" i="46" s="1"/>
  <c r="D103" i="47"/>
  <c r="E103" i="47" s="1"/>
  <c r="G102" i="47"/>
  <c r="J101" i="47"/>
  <c r="J100" i="46"/>
  <c r="D103" i="45"/>
  <c r="B103" i="45" s="1"/>
  <c r="E103" i="45"/>
  <c r="J101" i="44"/>
  <c r="D103" i="44"/>
  <c r="B103" i="44" s="1"/>
  <c r="E103" i="44"/>
  <c r="J101" i="42"/>
  <c r="J101" i="38"/>
  <c r="B103" i="42"/>
  <c r="J101" i="41"/>
  <c r="B107" i="24"/>
  <c r="B101" i="40"/>
  <c r="B106" i="27"/>
  <c r="B104" i="30"/>
  <c r="B109" i="25"/>
  <c r="B109" i="22"/>
  <c r="B111" i="8"/>
  <c r="B113" i="7"/>
  <c r="B105" i="31"/>
  <c r="B105" i="29"/>
  <c r="B105" i="28"/>
  <c r="B110" i="4"/>
  <c r="B113" i="10"/>
  <c r="B108" i="23"/>
  <c r="B110" i="3"/>
  <c r="B102" i="43"/>
  <c r="B112" i="11"/>
  <c r="B111" i="6"/>
  <c r="B112" i="9"/>
  <c r="B102" i="39"/>
  <c r="B102" i="37"/>
  <c r="B110" i="5"/>
  <c r="M88" i="9"/>
  <c r="M89" i="9" s="1"/>
  <c r="E103" i="46" l="1"/>
  <c r="J101" i="46"/>
  <c r="D103" i="46"/>
  <c r="B103" i="46" s="1"/>
  <c r="H102" i="47"/>
  <c r="I102" i="47"/>
  <c r="F103" i="47"/>
  <c r="B103" i="47"/>
  <c r="I102" i="46"/>
  <c r="H102" i="46"/>
  <c r="F103" i="45"/>
  <c r="J102" i="45"/>
  <c r="F103" i="44"/>
  <c r="E104" i="44" s="1"/>
  <c r="D104" i="42"/>
  <c r="M88" i="42"/>
  <c r="M89" i="42" s="1"/>
  <c r="N88" i="42"/>
  <c r="B103" i="38"/>
  <c r="B103" i="41"/>
  <c r="M88" i="38"/>
  <c r="M89" i="38" s="1"/>
  <c r="N88" i="38"/>
  <c r="N88" i="41"/>
  <c r="M88" i="41"/>
  <c r="M89" i="41" s="1"/>
  <c r="J111" i="9"/>
  <c r="J101" i="43"/>
  <c r="J112" i="10"/>
  <c r="J104" i="29"/>
  <c r="J109" i="5"/>
  <c r="J106" i="24"/>
  <c r="J109" i="3"/>
  <c r="J104" i="28"/>
  <c r="J105" i="27"/>
  <c r="J100" i="40"/>
  <c r="J101" i="37"/>
  <c r="J101" i="39"/>
  <c r="J110" i="6"/>
  <c r="J111" i="11"/>
  <c r="J110" i="8"/>
  <c r="J108" i="25"/>
  <c r="J107" i="23"/>
  <c r="J109" i="4"/>
  <c r="J104" i="31"/>
  <c r="J112" i="7"/>
  <c r="J108" i="22"/>
  <c r="J103" i="30"/>
  <c r="O88" i="38" l="1"/>
  <c r="O89" i="38" s="1"/>
  <c r="N89" i="38"/>
  <c r="N89" i="42"/>
  <c r="O88" i="42"/>
  <c r="O89" i="42" s="1"/>
  <c r="N89" i="41"/>
  <c r="O88" i="41"/>
  <c r="O89" i="41" s="1"/>
  <c r="J102" i="47"/>
  <c r="G103" i="47"/>
  <c r="D104" i="47"/>
  <c r="E104" i="47" s="1"/>
  <c r="F103" i="46"/>
  <c r="J102" i="46"/>
  <c r="D104" i="44"/>
  <c r="B104" i="44" s="1"/>
  <c r="D104" i="45"/>
  <c r="E104" i="45"/>
  <c r="G103" i="45"/>
  <c r="J102" i="44"/>
  <c r="G103" i="44"/>
  <c r="I103" i="44" s="1"/>
  <c r="N88" i="45"/>
  <c r="J102" i="38"/>
  <c r="J102" i="41"/>
  <c r="J102" i="42"/>
  <c r="D104" i="38"/>
  <c r="E104" i="42"/>
  <c r="F104" i="42" s="1"/>
  <c r="B104" i="42"/>
  <c r="D104" i="41"/>
  <c r="B106" i="28"/>
  <c r="B109" i="23"/>
  <c r="B103" i="39"/>
  <c r="B108" i="24"/>
  <c r="B111" i="3"/>
  <c r="B111" i="4"/>
  <c r="B107" i="27"/>
  <c r="B114" i="7"/>
  <c r="B106" i="29"/>
  <c r="B103" i="43"/>
  <c r="B110" i="22"/>
  <c r="B114" i="10"/>
  <c r="B112" i="6"/>
  <c r="B105" i="30"/>
  <c r="B106" i="31"/>
  <c r="B112" i="8"/>
  <c r="M88" i="43"/>
  <c r="M89" i="43" s="1"/>
  <c r="N88" i="43"/>
  <c r="B110" i="25"/>
  <c r="B113" i="11"/>
  <c r="B111" i="5"/>
  <c r="B102" i="40"/>
  <c r="B103" i="37"/>
  <c r="B113" i="9"/>
  <c r="N89" i="43" l="1"/>
  <c r="O88" i="43"/>
  <c r="O89" i="43" s="1"/>
  <c r="G103" i="46"/>
  <c r="E104" i="46"/>
  <c r="D104" i="46"/>
  <c r="F104" i="47"/>
  <c r="B104" i="47"/>
  <c r="I103" i="47"/>
  <c r="H103" i="47"/>
  <c r="F104" i="44"/>
  <c r="D105" i="44" s="1"/>
  <c r="B105" i="44" s="1"/>
  <c r="N88" i="46"/>
  <c r="H103" i="45"/>
  <c r="M88" i="45" s="1"/>
  <c r="M89" i="45" s="1"/>
  <c r="I103" i="45"/>
  <c r="B104" i="45"/>
  <c r="F104" i="45"/>
  <c r="H103" i="44"/>
  <c r="M88" i="44" s="1"/>
  <c r="M89" i="44" s="1"/>
  <c r="N88" i="44"/>
  <c r="N89" i="45"/>
  <c r="J103" i="42"/>
  <c r="G104" i="42"/>
  <c r="D105" i="42"/>
  <c r="E104" i="38"/>
  <c r="F104" i="38" s="1"/>
  <c r="B104" i="38"/>
  <c r="E104" i="41"/>
  <c r="F104" i="41" s="1"/>
  <c r="B104" i="41"/>
  <c r="J105" i="29"/>
  <c r="D104" i="43"/>
  <c r="E104" i="43"/>
  <c r="J102" i="37"/>
  <c r="J109" i="25"/>
  <c r="J109" i="22"/>
  <c r="J110" i="4"/>
  <c r="J107" i="24"/>
  <c r="J108" i="23"/>
  <c r="J101" i="40"/>
  <c r="J110" i="5"/>
  <c r="J112" i="11"/>
  <c r="J111" i="8"/>
  <c r="J104" i="30"/>
  <c r="J113" i="10"/>
  <c r="J102" i="43"/>
  <c r="J106" i="27"/>
  <c r="J105" i="28"/>
  <c r="J110" i="3"/>
  <c r="J105" i="31"/>
  <c r="J111" i="6"/>
  <c r="J113" i="7"/>
  <c r="J102" i="39"/>
  <c r="J112" i="9"/>
  <c r="D105" i="47" l="1"/>
  <c r="E105" i="47" s="1"/>
  <c r="G104" i="47"/>
  <c r="B104" i="46"/>
  <c r="F104" i="46"/>
  <c r="J103" i="47"/>
  <c r="H103" i="46"/>
  <c r="M88" i="46" s="1"/>
  <c r="M89" i="46" s="1"/>
  <c r="I103" i="46"/>
  <c r="J103" i="46" s="1"/>
  <c r="G104" i="44"/>
  <c r="H104" i="44" s="1"/>
  <c r="E105" i="44"/>
  <c r="F105" i="44" s="1"/>
  <c r="D106" i="44" s="1"/>
  <c r="N89" i="46"/>
  <c r="O88" i="45"/>
  <c r="O89" i="45" s="1"/>
  <c r="J103" i="44"/>
  <c r="J103" i="45"/>
  <c r="G104" i="45"/>
  <c r="E105" i="45"/>
  <c r="D105" i="45"/>
  <c r="O88" i="44"/>
  <c r="O89" i="44" s="1"/>
  <c r="N89" i="44"/>
  <c r="J103" i="38"/>
  <c r="D105" i="41"/>
  <c r="G104" i="41"/>
  <c r="D105" i="38"/>
  <c r="G104" i="38"/>
  <c r="E105" i="38"/>
  <c r="I104" i="42"/>
  <c r="H104" i="42"/>
  <c r="E105" i="42"/>
  <c r="F105" i="42" s="1"/>
  <c r="B105" i="42"/>
  <c r="J103" i="41"/>
  <c r="B111" i="25"/>
  <c r="B104" i="39"/>
  <c r="M88" i="24"/>
  <c r="M89" i="24" s="1"/>
  <c r="N88" i="24"/>
  <c r="M88" i="23"/>
  <c r="M89" i="23" s="1"/>
  <c r="N88" i="23"/>
  <c r="M88" i="22"/>
  <c r="M89" i="22" s="1"/>
  <c r="N88" i="22"/>
  <c r="B107" i="28"/>
  <c r="B108" i="27"/>
  <c r="N88" i="29"/>
  <c r="M88" i="29"/>
  <c r="M89" i="29" s="1"/>
  <c r="M88" i="11"/>
  <c r="M89" i="11" s="1"/>
  <c r="N88" i="11"/>
  <c r="B112" i="3"/>
  <c r="N88" i="3"/>
  <c r="M88" i="3"/>
  <c r="M89" i="3" s="1"/>
  <c r="B115" i="10"/>
  <c r="B107" i="31"/>
  <c r="M88" i="25"/>
  <c r="M89" i="25" s="1"/>
  <c r="N88" i="39"/>
  <c r="M88" i="39"/>
  <c r="M89" i="39" s="1"/>
  <c r="B115" i="7"/>
  <c r="B103" i="40"/>
  <c r="M88" i="28"/>
  <c r="M89" i="28" s="1"/>
  <c r="N88" i="28"/>
  <c r="B112" i="4"/>
  <c r="M88" i="27"/>
  <c r="M89" i="27" s="1"/>
  <c r="N88" i="27"/>
  <c r="M88" i="10"/>
  <c r="M89" i="10" s="1"/>
  <c r="N88" i="10"/>
  <c r="B113" i="6"/>
  <c r="N88" i="31"/>
  <c r="M88" i="31"/>
  <c r="M89" i="31" s="1"/>
  <c r="M88" i="7"/>
  <c r="M89" i="7" s="1"/>
  <c r="N88" i="7"/>
  <c r="M88" i="40"/>
  <c r="M89" i="40" s="1"/>
  <c r="N88" i="40"/>
  <c r="B114" i="9"/>
  <c r="B106" i="30"/>
  <c r="B112" i="5"/>
  <c r="M88" i="4"/>
  <c r="M89" i="4" s="1"/>
  <c r="N88" i="4"/>
  <c r="B104" i="43"/>
  <c r="F104" i="43"/>
  <c r="B113" i="8"/>
  <c r="B104" i="37"/>
  <c r="M88" i="6"/>
  <c r="M89" i="6" s="1"/>
  <c r="N88" i="6"/>
  <c r="B109" i="24"/>
  <c r="N88" i="9"/>
  <c r="B110" i="23"/>
  <c r="B111" i="22"/>
  <c r="N88" i="30"/>
  <c r="M88" i="30"/>
  <c r="M89" i="30" s="1"/>
  <c r="M88" i="5"/>
  <c r="M89" i="5" s="1"/>
  <c r="N88" i="5"/>
  <c r="B107" i="29"/>
  <c r="M88" i="8"/>
  <c r="M89" i="8" s="1"/>
  <c r="N88" i="8"/>
  <c r="B114" i="11"/>
  <c r="M88" i="37"/>
  <c r="M89" i="37" s="1"/>
  <c r="N88" i="37"/>
  <c r="N89" i="30" l="1"/>
  <c r="O88" i="30"/>
  <c r="O89" i="30" s="1"/>
  <c r="N89" i="6"/>
  <c r="O88" i="6"/>
  <c r="O89" i="6" s="1"/>
  <c r="O88" i="4"/>
  <c r="O89" i="4" s="1"/>
  <c r="N89" i="4"/>
  <c r="N89" i="40"/>
  <c r="O88" i="40"/>
  <c r="O89" i="40" s="1"/>
  <c r="N89" i="10"/>
  <c r="O88" i="10"/>
  <c r="O89" i="10" s="1"/>
  <c r="O88" i="11"/>
  <c r="O89" i="11" s="1"/>
  <c r="N89" i="11"/>
  <c r="N89" i="22"/>
  <c r="O88" i="22"/>
  <c r="O89" i="22" s="1"/>
  <c r="N89" i="24"/>
  <c r="O88" i="24"/>
  <c r="O89" i="24" s="1"/>
  <c r="O88" i="5"/>
  <c r="O89" i="5" s="1"/>
  <c r="N89" i="5"/>
  <c r="O88" i="9"/>
  <c r="O89" i="9" s="1"/>
  <c r="N89" i="9"/>
  <c r="N89" i="39"/>
  <c r="O88" i="39"/>
  <c r="O89" i="39" s="1"/>
  <c r="N89" i="3"/>
  <c r="O88" i="3"/>
  <c r="O89" i="3" s="1"/>
  <c r="N89" i="31"/>
  <c r="O88" i="31"/>
  <c r="O89" i="31" s="1"/>
  <c r="O88" i="7"/>
  <c r="O89" i="7" s="1"/>
  <c r="N89" i="7"/>
  <c r="N89" i="27"/>
  <c r="O88" i="27"/>
  <c r="O89" i="27" s="1"/>
  <c r="N89" i="28"/>
  <c r="O88" i="28"/>
  <c r="O89" i="28" s="1"/>
  <c r="P108" i="25"/>
  <c r="N88" i="25"/>
  <c r="N89" i="23"/>
  <c r="O88" i="23"/>
  <c r="O89" i="23" s="1"/>
  <c r="N89" i="37"/>
  <c r="O88" i="37"/>
  <c r="O89" i="37" s="1"/>
  <c r="N89" i="8"/>
  <c r="O88" i="8"/>
  <c r="O89" i="8" s="1"/>
  <c r="N89" i="29"/>
  <c r="O88" i="29"/>
  <c r="O89" i="29" s="1"/>
  <c r="I104" i="44"/>
  <c r="J104" i="44" s="1"/>
  <c r="O88" i="46"/>
  <c r="O89" i="46" s="1"/>
  <c r="N18" i="2"/>
  <c r="I52" i="17"/>
  <c r="H104" i="47"/>
  <c r="I104" i="47"/>
  <c r="G104" i="46"/>
  <c r="E105" i="46"/>
  <c r="D105" i="46"/>
  <c r="B105" i="47"/>
  <c r="F105" i="47"/>
  <c r="G105" i="44"/>
  <c r="H105" i="44" s="1"/>
  <c r="B105" i="45"/>
  <c r="F105" i="45"/>
  <c r="H104" i="45"/>
  <c r="I104" i="45"/>
  <c r="E106" i="44"/>
  <c r="F106" i="44" s="1"/>
  <c r="B106" i="44"/>
  <c r="G105" i="42"/>
  <c r="D106" i="42"/>
  <c r="H104" i="38"/>
  <c r="I104" i="38"/>
  <c r="B105" i="38"/>
  <c r="F105" i="38"/>
  <c r="J104" i="42"/>
  <c r="I104" i="41"/>
  <c r="H104" i="41"/>
  <c r="E105" i="41"/>
  <c r="F105" i="41" s="1"/>
  <c r="B105" i="41"/>
  <c r="D114" i="8"/>
  <c r="E114" i="8"/>
  <c r="J112" i="8"/>
  <c r="J113" i="9"/>
  <c r="J103" i="39"/>
  <c r="J110" i="25"/>
  <c r="J108" i="24"/>
  <c r="J111" i="4"/>
  <c r="J103" i="37"/>
  <c r="D108" i="29"/>
  <c r="E108" i="29"/>
  <c r="D107" i="30"/>
  <c r="E107" i="30"/>
  <c r="D111" i="23"/>
  <c r="E111" i="23"/>
  <c r="D110" i="24"/>
  <c r="E110" i="24"/>
  <c r="D105" i="37"/>
  <c r="E105" i="37"/>
  <c r="G104" i="43"/>
  <c r="D105" i="43"/>
  <c r="E105" i="43"/>
  <c r="J102" i="40"/>
  <c r="J114" i="10"/>
  <c r="J107" i="27"/>
  <c r="J106" i="28"/>
  <c r="D104" i="40"/>
  <c r="E104" i="40"/>
  <c r="D116" i="7"/>
  <c r="E116" i="7"/>
  <c r="D116" i="10"/>
  <c r="E116" i="10"/>
  <c r="D113" i="3"/>
  <c r="E113" i="3"/>
  <c r="D108" i="28"/>
  <c r="E108" i="28"/>
  <c r="J110" i="22"/>
  <c r="D112" i="25"/>
  <c r="E112" i="25"/>
  <c r="D112" i="22"/>
  <c r="E112" i="22"/>
  <c r="D115" i="11"/>
  <c r="E115" i="11"/>
  <c r="J103" i="43"/>
  <c r="J105" i="30"/>
  <c r="D113" i="5"/>
  <c r="E113" i="5"/>
  <c r="J106" i="31"/>
  <c r="J106" i="29"/>
  <c r="D105" i="39"/>
  <c r="E105" i="39"/>
  <c r="J111" i="5"/>
  <c r="J112" i="6"/>
  <c r="D115" i="9"/>
  <c r="E115" i="9"/>
  <c r="J114" i="7"/>
  <c r="D114" i="6"/>
  <c r="E114" i="6"/>
  <c r="D113" i="4"/>
  <c r="E113" i="4"/>
  <c r="D108" i="31"/>
  <c r="E108" i="31"/>
  <c r="J113" i="11"/>
  <c r="D109" i="27"/>
  <c r="E109" i="27"/>
  <c r="J109" i="23"/>
  <c r="N89" i="25" l="1"/>
  <c r="O88" i="25"/>
  <c r="O89" i="25" s="1"/>
  <c r="O18" i="2"/>
  <c r="N19" i="2"/>
  <c r="N20" i="2" s="1"/>
  <c r="J104" i="47"/>
  <c r="B105" i="46"/>
  <c r="F105" i="46"/>
  <c r="D106" i="47"/>
  <c r="E106" i="47" s="1"/>
  <c r="G105" i="47"/>
  <c r="I104" i="46"/>
  <c r="H104" i="46"/>
  <c r="I105" i="44"/>
  <c r="J105" i="44" s="1"/>
  <c r="J104" i="45"/>
  <c r="G105" i="45"/>
  <c r="D106" i="45"/>
  <c r="E106" i="45"/>
  <c r="J104" i="38"/>
  <c r="J104" i="41"/>
  <c r="D107" i="44"/>
  <c r="G106" i="44"/>
  <c r="D106" i="41"/>
  <c r="G105" i="41"/>
  <c r="D106" i="38"/>
  <c r="G105" i="38"/>
  <c r="E106" i="42"/>
  <c r="F106" i="42" s="1"/>
  <c r="B106" i="42"/>
  <c r="I105" i="42"/>
  <c r="H105" i="42"/>
  <c r="B109" i="27"/>
  <c r="F109" i="27"/>
  <c r="B108" i="31"/>
  <c r="F108" i="31"/>
  <c r="B112" i="25"/>
  <c r="F112" i="25"/>
  <c r="B113" i="3"/>
  <c r="F113" i="3"/>
  <c r="B105" i="43"/>
  <c r="F105" i="43"/>
  <c r="B107" i="30"/>
  <c r="F107" i="30"/>
  <c r="B112" i="22"/>
  <c r="F112" i="22"/>
  <c r="P109" i="25"/>
  <c r="B108" i="28"/>
  <c r="F108" i="28"/>
  <c r="B104" i="40"/>
  <c r="F104" i="40"/>
  <c r="I104" i="43"/>
  <c r="H104" i="43"/>
  <c r="B111" i="23"/>
  <c r="F111" i="23"/>
  <c r="B114" i="6"/>
  <c r="F114" i="6"/>
  <c r="B105" i="39"/>
  <c r="F105" i="39"/>
  <c r="B115" i="11"/>
  <c r="F115" i="11"/>
  <c r="B116" i="7"/>
  <c r="F116" i="7"/>
  <c r="B110" i="24"/>
  <c r="F110" i="24"/>
  <c r="B114" i="8"/>
  <c r="F114" i="8"/>
  <c r="B113" i="4"/>
  <c r="F113" i="4"/>
  <c r="B115" i="9"/>
  <c r="F115" i="9"/>
  <c r="B113" i="5"/>
  <c r="F113" i="5"/>
  <c r="B116" i="10"/>
  <c r="F116" i="10"/>
  <c r="B105" i="37"/>
  <c r="F105" i="37"/>
  <c r="B108" i="29"/>
  <c r="F108" i="29"/>
  <c r="O19" i="2" l="1"/>
  <c r="O20" i="2" s="1"/>
  <c r="P18" i="2"/>
  <c r="P19" i="2" s="1"/>
  <c r="P20" i="2" s="1"/>
  <c r="I105" i="47"/>
  <c r="H105" i="47"/>
  <c r="B106" i="47"/>
  <c r="F106" i="47"/>
  <c r="J104" i="46"/>
  <c r="E106" i="46"/>
  <c r="G105" i="46"/>
  <c r="D106" i="46"/>
  <c r="B106" i="45"/>
  <c r="F106" i="45"/>
  <c r="H105" i="45"/>
  <c r="I105" i="45"/>
  <c r="J105" i="42"/>
  <c r="H106" i="44"/>
  <c r="I106" i="44"/>
  <c r="E107" i="44"/>
  <c r="F107" i="44" s="1"/>
  <c r="B107" i="44"/>
  <c r="I105" i="38"/>
  <c r="H105" i="38"/>
  <c r="D107" i="42"/>
  <c r="G106" i="42"/>
  <c r="E106" i="38"/>
  <c r="F106" i="38" s="1"/>
  <c r="B106" i="38"/>
  <c r="H105" i="41"/>
  <c r="I105" i="41"/>
  <c r="E106" i="41"/>
  <c r="F106" i="41" s="1"/>
  <c r="B106" i="41"/>
  <c r="J113" i="8"/>
  <c r="J109" i="24"/>
  <c r="J115" i="7"/>
  <c r="J114" i="11"/>
  <c r="J104" i="39"/>
  <c r="J113" i="6"/>
  <c r="G114" i="8"/>
  <c r="D115" i="8"/>
  <c r="E115" i="8"/>
  <c r="G110" i="24"/>
  <c r="D111" i="24"/>
  <c r="E111" i="24"/>
  <c r="G116" i="7"/>
  <c r="D117" i="7"/>
  <c r="E117" i="7"/>
  <c r="J111" i="22"/>
  <c r="G105" i="39"/>
  <c r="D106" i="39"/>
  <c r="E106" i="39"/>
  <c r="J106" i="30"/>
  <c r="J112" i="3"/>
  <c r="J111" i="25"/>
  <c r="J107" i="31"/>
  <c r="J107" i="29"/>
  <c r="J115" i="10"/>
  <c r="G112" i="25"/>
  <c r="D113" i="25"/>
  <c r="E113" i="25"/>
  <c r="J114" i="9"/>
  <c r="G108" i="31"/>
  <c r="D109" i="31"/>
  <c r="E109" i="31"/>
  <c r="J104" i="43"/>
  <c r="J104" i="37"/>
  <c r="G108" i="29"/>
  <c r="D109" i="29"/>
  <c r="E109" i="29"/>
  <c r="G105" i="37"/>
  <c r="D106" i="37"/>
  <c r="E106" i="37"/>
  <c r="G116" i="10"/>
  <c r="D117" i="10"/>
  <c r="E117" i="10"/>
  <c r="G113" i="5"/>
  <c r="D114" i="5"/>
  <c r="E114" i="5"/>
  <c r="G115" i="9"/>
  <c r="D116" i="9"/>
  <c r="E116" i="9"/>
  <c r="G113" i="4"/>
  <c r="D114" i="4"/>
  <c r="E114" i="4"/>
  <c r="J110" i="23"/>
  <c r="J103" i="40"/>
  <c r="J107" i="28"/>
  <c r="G115" i="11"/>
  <c r="D116" i="11"/>
  <c r="E116" i="11"/>
  <c r="G114" i="6"/>
  <c r="D115" i="6"/>
  <c r="E115" i="6"/>
  <c r="G111" i="23"/>
  <c r="D112" i="23"/>
  <c r="E112" i="23"/>
  <c r="G104" i="40"/>
  <c r="D105" i="40"/>
  <c r="E105" i="40"/>
  <c r="G108" i="28"/>
  <c r="D109" i="28"/>
  <c r="E109" i="28"/>
  <c r="G112" i="22"/>
  <c r="D113" i="22"/>
  <c r="E113" i="22"/>
  <c r="G107" i="30"/>
  <c r="D108" i="30"/>
  <c r="E108" i="30"/>
  <c r="G105" i="43"/>
  <c r="D106" i="43"/>
  <c r="E106" i="43"/>
  <c r="G113" i="3"/>
  <c r="D114" i="3"/>
  <c r="E114" i="3"/>
  <c r="J112" i="5"/>
  <c r="J112" i="4"/>
  <c r="G109" i="27"/>
  <c r="D110" i="27"/>
  <c r="E110" i="27"/>
  <c r="J108" i="27"/>
  <c r="F106" i="46" l="1"/>
  <c r="B106" i="46"/>
  <c r="D107" i="47"/>
  <c r="E107" i="47" s="1"/>
  <c r="G106" i="47"/>
  <c r="H105" i="46"/>
  <c r="I105" i="46"/>
  <c r="J105" i="47"/>
  <c r="J105" i="45"/>
  <c r="G106" i="45"/>
  <c r="D107" i="45"/>
  <c r="E107" i="45"/>
  <c r="J106" i="44"/>
  <c r="D108" i="44"/>
  <c r="G107" i="44"/>
  <c r="H106" i="42"/>
  <c r="I106" i="42"/>
  <c r="D107" i="41"/>
  <c r="G106" i="41"/>
  <c r="D107" i="38"/>
  <c r="G106" i="38"/>
  <c r="E107" i="42"/>
  <c r="F107" i="42" s="1"/>
  <c r="B107" i="42"/>
  <c r="J105" i="41"/>
  <c r="J105" i="38"/>
  <c r="B114" i="3"/>
  <c r="F114" i="3"/>
  <c r="B109" i="28"/>
  <c r="F109" i="28"/>
  <c r="H104" i="40"/>
  <c r="I104" i="40"/>
  <c r="B116" i="11"/>
  <c r="F116" i="11"/>
  <c r="B116" i="9"/>
  <c r="F116" i="9"/>
  <c r="H113" i="5"/>
  <c r="I113" i="5"/>
  <c r="B109" i="29"/>
  <c r="F109" i="29"/>
  <c r="H108" i="31"/>
  <c r="I108" i="31"/>
  <c r="B113" i="25"/>
  <c r="F113" i="25"/>
  <c r="H105" i="39"/>
  <c r="I105" i="39"/>
  <c r="B117" i="7"/>
  <c r="F117" i="7"/>
  <c r="I110" i="24"/>
  <c r="H110" i="24"/>
  <c r="I105" i="43"/>
  <c r="H105" i="43"/>
  <c r="B110" i="27"/>
  <c r="F110" i="27"/>
  <c r="I113" i="3"/>
  <c r="H113" i="3"/>
  <c r="B113" i="22"/>
  <c r="F113" i="22"/>
  <c r="H108" i="28"/>
  <c r="I108" i="28"/>
  <c r="B115" i="6"/>
  <c r="F115" i="6"/>
  <c r="H115" i="11"/>
  <c r="I115" i="11"/>
  <c r="B114" i="4"/>
  <c r="F114" i="4"/>
  <c r="H115" i="9"/>
  <c r="I115" i="9"/>
  <c r="B106" i="37"/>
  <c r="F106" i="37"/>
  <c r="H108" i="29"/>
  <c r="I108" i="29"/>
  <c r="H112" i="25"/>
  <c r="I112" i="25"/>
  <c r="H116" i="7"/>
  <c r="I116" i="7"/>
  <c r="H109" i="27"/>
  <c r="I109" i="27"/>
  <c r="B108" i="30"/>
  <c r="F108" i="30"/>
  <c r="H112" i="22"/>
  <c r="I112" i="22"/>
  <c r="B112" i="23"/>
  <c r="F112" i="23"/>
  <c r="H114" i="6"/>
  <c r="I114" i="6"/>
  <c r="H113" i="4"/>
  <c r="I113" i="4"/>
  <c r="B117" i="10"/>
  <c r="F117" i="10"/>
  <c r="H105" i="37"/>
  <c r="I105" i="37"/>
  <c r="B115" i="8"/>
  <c r="F115" i="8"/>
  <c r="B106" i="43"/>
  <c r="F106" i="43"/>
  <c r="H107" i="30"/>
  <c r="I107" i="30"/>
  <c r="B105" i="40"/>
  <c r="F105" i="40"/>
  <c r="H111" i="23"/>
  <c r="I111" i="23"/>
  <c r="B114" i="5"/>
  <c r="F114" i="5"/>
  <c r="H116" i="10"/>
  <c r="I116" i="10"/>
  <c r="B109" i="31"/>
  <c r="F109" i="31"/>
  <c r="B106" i="39"/>
  <c r="F106" i="39"/>
  <c r="B111" i="24"/>
  <c r="F111" i="24"/>
  <c r="H114" i="8"/>
  <c r="I114" i="8"/>
  <c r="J105" i="46" l="1"/>
  <c r="H106" i="47"/>
  <c r="I106" i="47"/>
  <c r="F107" i="47"/>
  <c r="B107" i="47"/>
  <c r="D107" i="46"/>
  <c r="G106" i="46"/>
  <c r="E107" i="46"/>
  <c r="B107" i="45"/>
  <c r="F107" i="45"/>
  <c r="I106" i="45"/>
  <c r="H106" i="45"/>
  <c r="E108" i="44"/>
  <c r="F108" i="44" s="1"/>
  <c r="B108" i="44"/>
  <c r="H107" i="44"/>
  <c r="I107" i="44"/>
  <c r="J106" i="42"/>
  <c r="G107" i="42"/>
  <c r="D108" i="42"/>
  <c r="I106" i="41"/>
  <c r="H106" i="41"/>
  <c r="E107" i="41"/>
  <c r="F107" i="41" s="1"/>
  <c r="B107" i="41"/>
  <c r="H106" i="38"/>
  <c r="I106" i="38"/>
  <c r="E107" i="38"/>
  <c r="F107" i="38" s="1"/>
  <c r="B107" i="38"/>
  <c r="J114" i="8"/>
  <c r="J116" i="10"/>
  <c r="J105" i="39"/>
  <c r="J113" i="3"/>
  <c r="J105" i="43"/>
  <c r="G106" i="39"/>
  <c r="D107" i="39"/>
  <c r="E107" i="39"/>
  <c r="J111" i="23"/>
  <c r="J107" i="30"/>
  <c r="G115" i="8"/>
  <c r="D116" i="8"/>
  <c r="E116" i="8"/>
  <c r="G117" i="10"/>
  <c r="D118" i="10"/>
  <c r="E118" i="10"/>
  <c r="J114" i="6"/>
  <c r="J112" i="22"/>
  <c r="J109" i="27"/>
  <c r="J112" i="25"/>
  <c r="G106" i="37"/>
  <c r="D107" i="37"/>
  <c r="E107" i="37"/>
  <c r="G114" i="4"/>
  <c r="D115" i="4"/>
  <c r="E115" i="4"/>
  <c r="G115" i="6"/>
  <c r="D116" i="6"/>
  <c r="E116" i="6"/>
  <c r="G113" i="22"/>
  <c r="D114" i="22"/>
  <c r="E114" i="22"/>
  <c r="G110" i="27"/>
  <c r="D111" i="27"/>
  <c r="E111" i="27"/>
  <c r="J108" i="31"/>
  <c r="J113" i="5"/>
  <c r="G116" i="11"/>
  <c r="D117" i="11"/>
  <c r="E117" i="11"/>
  <c r="G109" i="28"/>
  <c r="D110" i="28"/>
  <c r="E110" i="28"/>
  <c r="J110" i="24"/>
  <c r="G111" i="24"/>
  <c r="D112" i="24"/>
  <c r="E112" i="24"/>
  <c r="G109" i="31"/>
  <c r="D110" i="31"/>
  <c r="E110" i="31"/>
  <c r="G114" i="5"/>
  <c r="D115" i="5"/>
  <c r="E115" i="5"/>
  <c r="G105" i="40"/>
  <c r="D106" i="40"/>
  <c r="E106" i="40"/>
  <c r="G106" i="43"/>
  <c r="D107" i="43"/>
  <c r="E107" i="43"/>
  <c r="J105" i="37"/>
  <c r="J113" i="4"/>
  <c r="G112" i="23"/>
  <c r="D113" i="23"/>
  <c r="E113" i="23"/>
  <c r="G108" i="30"/>
  <c r="D109" i="30"/>
  <c r="E109" i="30"/>
  <c r="J116" i="7"/>
  <c r="J108" i="29"/>
  <c r="J115" i="9"/>
  <c r="J115" i="11"/>
  <c r="J108" i="28"/>
  <c r="G117" i="7"/>
  <c r="D118" i="7"/>
  <c r="E118" i="7"/>
  <c r="G113" i="25"/>
  <c r="D114" i="25"/>
  <c r="E114" i="25"/>
  <c r="G109" i="29"/>
  <c r="D110" i="29"/>
  <c r="E110" i="29"/>
  <c r="G116" i="9"/>
  <c r="D117" i="9"/>
  <c r="E117" i="9"/>
  <c r="J104" i="40"/>
  <c r="G114" i="3"/>
  <c r="D115" i="3"/>
  <c r="E115" i="3"/>
  <c r="J106" i="47" l="1"/>
  <c r="D108" i="47"/>
  <c r="G107" i="47"/>
  <c r="E108" i="47"/>
  <c r="I106" i="46"/>
  <c r="H106" i="46"/>
  <c r="B107" i="46"/>
  <c r="F107" i="46"/>
  <c r="J106" i="45"/>
  <c r="E108" i="45"/>
  <c r="D108" i="45"/>
  <c r="G107" i="45"/>
  <c r="D109" i="44"/>
  <c r="G108" i="44"/>
  <c r="J107" i="44"/>
  <c r="J106" i="41"/>
  <c r="G107" i="38"/>
  <c r="D108" i="38"/>
  <c r="G107" i="41"/>
  <c r="D108" i="41"/>
  <c r="E108" i="42"/>
  <c r="F108" i="42" s="1"/>
  <c r="B108" i="42"/>
  <c r="J106" i="38"/>
  <c r="H107" i="42"/>
  <c r="I107" i="42"/>
  <c r="B115" i="3"/>
  <c r="F115" i="3"/>
  <c r="H114" i="3"/>
  <c r="I114" i="3"/>
  <c r="H116" i="9"/>
  <c r="I116" i="9"/>
  <c r="B114" i="25"/>
  <c r="F114" i="25"/>
  <c r="H117" i="7"/>
  <c r="I117" i="7"/>
  <c r="H108" i="30"/>
  <c r="I108" i="30"/>
  <c r="I106" i="43"/>
  <c r="H106" i="43"/>
  <c r="B110" i="31"/>
  <c r="F110" i="31"/>
  <c r="H111" i="24"/>
  <c r="I111" i="24"/>
  <c r="H109" i="28"/>
  <c r="I109" i="28"/>
  <c r="I110" i="27"/>
  <c r="H110" i="27"/>
  <c r="B115" i="4"/>
  <c r="F115" i="4"/>
  <c r="H106" i="37"/>
  <c r="I106" i="37"/>
  <c r="B110" i="29"/>
  <c r="F110" i="29"/>
  <c r="H113" i="25"/>
  <c r="I113" i="25"/>
  <c r="B115" i="5"/>
  <c r="F115" i="5"/>
  <c r="H109" i="31"/>
  <c r="I109" i="31"/>
  <c r="B116" i="6"/>
  <c r="F116" i="6"/>
  <c r="H114" i="4"/>
  <c r="I114" i="4"/>
  <c r="B116" i="8"/>
  <c r="F116" i="8"/>
  <c r="B117" i="9"/>
  <c r="F117" i="9"/>
  <c r="H109" i="29"/>
  <c r="I109" i="29"/>
  <c r="B113" i="23"/>
  <c r="F113" i="23"/>
  <c r="B106" i="40"/>
  <c r="F106" i="40"/>
  <c r="H114" i="5"/>
  <c r="I114" i="5"/>
  <c r="B117" i="11"/>
  <c r="F117" i="11"/>
  <c r="B114" i="22"/>
  <c r="F114" i="22"/>
  <c r="I115" i="6"/>
  <c r="H115" i="6"/>
  <c r="B118" i="10"/>
  <c r="F118" i="10"/>
  <c r="I115" i="8"/>
  <c r="H115" i="8"/>
  <c r="B107" i="39"/>
  <c r="F107" i="39"/>
  <c r="B118" i="7"/>
  <c r="F118" i="7"/>
  <c r="B109" i="30"/>
  <c r="F109" i="30"/>
  <c r="I112" i="23"/>
  <c r="H112" i="23"/>
  <c r="B107" i="43"/>
  <c r="F107" i="43"/>
  <c r="H105" i="40"/>
  <c r="I105" i="40"/>
  <c r="B112" i="24"/>
  <c r="F112" i="24"/>
  <c r="B110" i="28"/>
  <c r="F110" i="28"/>
  <c r="H116" i="11"/>
  <c r="I116" i="11"/>
  <c r="B111" i="27"/>
  <c r="F111" i="27"/>
  <c r="H113" i="22"/>
  <c r="I113" i="22"/>
  <c r="B107" i="37"/>
  <c r="F107" i="37"/>
  <c r="H117" i="10"/>
  <c r="I117" i="10"/>
  <c r="H106" i="39"/>
  <c r="I106" i="39"/>
  <c r="J106" i="46" l="1"/>
  <c r="D108" i="46"/>
  <c r="B108" i="46" s="1"/>
  <c r="E108" i="46"/>
  <c r="G107" i="46"/>
  <c r="H107" i="47"/>
  <c r="I107" i="47"/>
  <c r="F108" i="47"/>
  <c r="B108" i="47"/>
  <c r="B108" i="45"/>
  <c r="F108" i="45"/>
  <c r="H107" i="45"/>
  <c r="I107" i="45"/>
  <c r="I108" i="44"/>
  <c r="H108" i="44"/>
  <c r="E109" i="44"/>
  <c r="F109" i="44" s="1"/>
  <c r="B109" i="44"/>
  <c r="G108" i="42"/>
  <c r="D109" i="42"/>
  <c r="E108" i="41"/>
  <c r="F108" i="41" s="1"/>
  <c r="B108" i="41"/>
  <c r="H107" i="41"/>
  <c r="I107" i="41"/>
  <c r="J114" i="3"/>
  <c r="J107" i="42"/>
  <c r="E108" i="38"/>
  <c r="F108" i="38" s="1"/>
  <c r="B108" i="38"/>
  <c r="I107" i="38"/>
  <c r="H107" i="38"/>
  <c r="J110" i="27"/>
  <c r="J106" i="43"/>
  <c r="J112" i="23"/>
  <c r="J115" i="8"/>
  <c r="J115" i="6"/>
  <c r="J106" i="39"/>
  <c r="G107" i="37"/>
  <c r="D108" i="37"/>
  <c r="E108" i="37"/>
  <c r="G111" i="27"/>
  <c r="D112" i="27"/>
  <c r="E112" i="27"/>
  <c r="G110" i="28"/>
  <c r="D111" i="28"/>
  <c r="E111" i="28"/>
  <c r="J105" i="40"/>
  <c r="G118" i="7"/>
  <c r="D119" i="7"/>
  <c r="E119" i="7"/>
  <c r="G117" i="11"/>
  <c r="D118" i="11"/>
  <c r="E118" i="11"/>
  <c r="G106" i="40"/>
  <c r="D107" i="40"/>
  <c r="E107" i="40"/>
  <c r="J109" i="29"/>
  <c r="G116" i="8"/>
  <c r="D117" i="8"/>
  <c r="E117" i="8"/>
  <c r="G116" i="6"/>
  <c r="D117" i="6"/>
  <c r="E117" i="6"/>
  <c r="G115" i="5"/>
  <c r="D116" i="5"/>
  <c r="E116" i="5"/>
  <c r="G110" i="29"/>
  <c r="D111" i="29"/>
  <c r="E111" i="29"/>
  <c r="G115" i="4"/>
  <c r="D116" i="4"/>
  <c r="E116" i="4"/>
  <c r="J109" i="28"/>
  <c r="G110" i="31"/>
  <c r="D111" i="31"/>
  <c r="E111" i="31"/>
  <c r="J108" i="30"/>
  <c r="G114" i="25"/>
  <c r="D115" i="25"/>
  <c r="E115" i="25"/>
  <c r="J117" i="10"/>
  <c r="J113" i="22"/>
  <c r="J116" i="11"/>
  <c r="G112" i="24"/>
  <c r="D113" i="24"/>
  <c r="E113" i="24"/>
  <c r="G107" i="43"/>
  <c r="D108" i="43"/>
  <c r="E108" i="43"/>
  <c r="G109" i="30"/>
  <c r="D110" i="30"/>
  <c r="E110" i="30"/>
  <c r="G107" i="39"/>
  <c r="D108" i="39"/>
  <c r="E108" i="39"/>
  <c r="G118" i="10"/>
  <c r="D119" i="10"/>
  <c r="E119" i="10"/>
  <c r="G114" i="22"/>
  <c r="D115" i="22"/>
  <c r="E115" i="22"/>
  <c r="J114" i="5"/>
  <c r="G113" i="23"/>
  <c r="D114" i="23"/>
  <c r="E114" i="23"/>
  <c r="G117" i="9"/>
  <c r="D118" i="9"/>
  <c r="E118" i="9"/>
  <c r="J114" i="4"/>
  <c r="J109" i="31"/>
  <c r="J113" i="25"/>
  <c r="J106" i="37"/>
  <c r="J111" i="24"/>
  <c r="J117" i="7"/>
  <c r="J116" i="9"/>
  <c r="G115" i="3"/>
  <c r="D116" i="3"/>
  <c r="E116" i="3"/>
  <c r="F108" i="46" l="1"/>
  <c r="I107" i="46"/>
  <c r="H107" i="46"/>
  <c r="D109" i="47"/>
  <c r="E109" i="47" s="1"/>
  <c r="G108" i="47"/>
  <c r="G108" i="46"/>
  <c r="E109" i="46"/>
  <c r="D109" i="46"/>
  <c r="B109" i="46" s="1"/>
  <c r="J107" i="47"/>
  <c r="J107" i="45"/>
  <c r="G108" i="45"/>
  <c r="E109" i="45"/>
  <c r="D109" i="45"/>
  <c r="D110" i="44"/>
  <c r="G109" i="44"/>
  <c r="J108" i="44"/>
  <c r="J107" i="41"/>
  <c r="D109" i="41"/>
  <c r="B109" i="41" s="1"/>
  <c r="G108" i="41"/>
  <c r="E109" i="41"/>
  <c r="G108" i="38"/>
  <c r="D109" i="38"/>
  <c r="E109" i="42"/>
  <c r="F109" i="42" s="1"/>
  <c r="B109" i="42"/>
  <c r="J107" i="38"/>
  <c r="I108" i="42"/>
  <c r="H108" i="42"/>
  <c r="H115" i="3"/>
  <c r="I115" i="3"/>
  <c r="B114" i="23"/>
  <c r="F114" i="23"/>
  <c r="B115" i="22"/>
  <c r="F115" i="22"/>
  <c r="H118" i="10"/>
  <c r="I118" i="10"/>
  <c r="B108" i="43"/>
  <c r="F108" i="43"/>
  <c r="I112" i="24"/>
  <c r="H112" i="24"/>
  <c r="B111" i="29"/>
  <c r="F111" i="29"/>
  <c r="H115" i="5"/>
  <c r="I115" i="5"/>
  <c r="B118" i="11"/>
  <c r="F118" i="11"/>
  <c r="I118" i="7"/>
  <c r="H118" i="7"/>
  <c r="H110" i="28"/>
  <c r="I110" i="28"/>
  <c r="H113" i="23"/>
  <c r="I113" i="23"/>
  <c r="B110" i="30"/>
  <c r="F110" i="30"/>
  <c r="H107" i="43"/>
  <c r="I107" i="43"/>
  <c r="B115" i="25"/>
  <c r="F115" i="25"/>
  <c r="B111" i="31"/>
  <c r="F111" i="31"/>
  <c r="B116" i="4"/>
  <c r="F116" i="4"/>
  <c r="H110" i="29"/>
  <c r="I110" i="29"/>
  <c r="B117" i="8"/>
  <c r="F117" i="8"/>
  <c r="B107" i="40"/>
  <c r="F107" i="40"/>
  <c r="I117" i="11"/>
  <c r="H117" i="11"/>
  <c r="B108" i="37"/>
  <c r="F108" i="37"/>
  <c r="B118" i="9"/>
  <c r="F118" i="9"/>
  <c r="H114" i="22"/>
  <c r="I114" i="22"/>
  <c r="H117" i="9"/>
  <c r="I117" i="9"/>
  <c r="B108" i="39"/>
  <c r="F108" i="39"/>
  <c r="I109" i="30"/>
  <c r="H109" i="30"/>
  <c r="H114" i="25"/>
  <c r="I114" i="25"/>
  <c r="H110" i="31"/>
  <c r="I110" i="31"/>
  <c r="H115" i="4"/>
  <c r="I115" i="4"/>
  <c r="B117" i="6"/>
  <c r="F117" i="6"/>
  <c r="H116" i="8"/>
  <c r="I116" i="8"/>
  <c r="H106" i="40"/>
  <c r="I106" i="40"/>
  <c r="B112" i="27"/>
  <c r="F112" i="27"/>
  <c r="H107" i="37"/>
  <c r="I107" i="37"/>
  <c r="B116" i="3"/>
  <c r="F116" i="3"/>
  <c r="B119" i="10"/>
  <c r="F119" i="10"/>
  <c r="H107" i="39"/>
  <c r="I107" i="39"/>
  <c r="B113" i="24"/>
  <c r="F113" i="24"/>
  <c r="B116" i="5"/>
  <c r="F116" i="5"/>
  <c r="H116" i="6"/>
  <c r="I116" i="6"/>
  <c r="B119" i="7"/>
  <c r="F119" i="7"/>
  <c r="B111" i="28"/>
  <c r="F111" i="28"/>
  <c r="H111" i="27"/>
  <c r="I111" i="27"/>
  <c r="H108" i="47" l="1"/>
  <c r="I108" i="47"/>
  <c r="F109" i="46"/>
  <c r="F109" i="47"/>
  <c r="B109" i="47"/>
  <c r="H108" i="46"/>
  <c r="I108" i="46"/>
  <c r="J107" i="46"/>
  <c r="B109" i="45"/>
  <c r="F109" i="45"/>
  <c r="I108" i="45"/>
  <c r="H108" i="45"/>
  <c r="I109" i="44"/>
  <c r="H109" i="44"/>
  <c r="E110" i="44"/>
  <c r="F110" i="44" s="1"/>
  <c r="B110" i="44"/>
  <c r="F109" i="41"/>
  <c r="D110" i="41" s="1"/>
  <c r="I108" i="38"/>
  <c r="H108" i="38"/>
  <c r="G109" i="42"/>
  <c r="D110" i="42"/>
  <c r="J108" i="42"/>
  <c r="H108" i="41"/>
  <c r="I108" i="41"/>
  <c r="E109" i="38"/>
  <c r="F109" i="38" s="1"/>
  <c r="B109" i="38"/>
  <c r="J109" i="30"/>
  <c r="J117" i="11"/>
  <c r="J107" i="43"/>
  <c r="J118" i="10"/>
  <c r="J115" i="3"/>
  <c r="J118" i="7"/>
  <c r="J111" i="27"/>
  <c r="G119" i="7"/>
  <c r="D120" i="7"/>
  <c r="E120" i="7"/>
  <c r="G116" i="5"/>
  <c r="D117" i="5"/>
  <c r="E117" i="5"/>
  <c r="J107" i="39"/>
  <c r="G116" i="3"/>
  <c r="D117" i="3"/>
  <c r="E117" i="3"/>
  <c r="G112" i="27"/>
  <c r="D113" i="27"/>
  <c r="E113" i="27"/>
  <c r="J116" i="8"/>
  <c r="J115" i="4"/>
  <c r="J114" i="25"/>
  <c r="G108" i="39"/>
  <c r="D109" i="39"/>
  <c r="E109" i="39"/>
  <c r="J114" i="22"/>
  <c r="G108" i="37"/>
  <c r="D109" i="37"/>
  <c r="E109" i="37"/>
  <c r="G107" i="40"/>
  <c r="D108" i="40"/>
  <c r="E108" i="40"/>
  <c r="J110" i="29"/>
  <c r="G111" i="31"/>
  <c r="D112" i="31"/>
  <c r="E112" i="31"/>
  <c r="J113" i="23"/>
  <c r="J115" i="5"/>
  <c r="G114" i="23"/>
  <c r="D115" i="23"/>
  <c r="E115" i="23"/>
  <c r="J112" i="24"/>
  <c r="G111" i="28"/>
  <c r="D112" i="28"/>
  <c r="E112" i="28"/>
  <c r="J116" i="6"/>
  <c r="G113" i="24"/>
  <c r="D114" i="24"/>
  <c r="E114" i="24"/>
  <c r="G119" i="10"/>
  <c r="D120" i="10"/>
  <c r="E120" i="10"/>
  <c r="J107" i="37"/>
  <c r="J106" i="40"/>
  <c r="G117" i="6"/>
  <c r="D118" i="6"/>
  <c r="E118" i="6"/>
  <c r="J110" i="31"/>
  <c r="J117" i="9"/>
  <c r="G118" i="9"/>
  <c r="D119" i="9"/>
  <c r="E119" i="9"/>
  <c r="G117" i="8"/>
  <c r="D118" i="8"/>
  <c r="E118" i="8"/>
  <c r="G116" i="4"/>
  <c r="D117" i="4"/>
  <c r="E117" i="4"/>
  <c r="G115" i="25"/>
  <c r="D116" i="25"/>
  <c r="E116" i="25"/>
  <c r="G110" i="30"/>
  <c r="D111" i="30"/>
  <c r="E111" i="30"/>
  <c r="J110" i="28"/>
  <c r="G118" i="11"/>
  <c r="D119" i="11"/>
  <c r="E119" i="11"/>
  <c r="G111" i="29"/>
  <c r="D112" i="29"/>
  <c r="E112" i="29"/>
  <c r="G108" i="43"/>
  <c r="D109" i="43"/>
  <c r="E109" i="43"/>
  <c r="G115" i="22"/>
  <c r="D116" i="22"/>
  <c r="E116" i="22"/>
  <c r="J108" i="47" l="1"/>
  <c r="D110" i="47"/>
  <c r="G109" i="47"/>
  <c r="E110" i="47"/>
  <c r="J108" i="46"/>
  <c r="D110" i="46"/>
  <c r="B110" i="46" s="1"/>
  <c r="E110" i="46"/>
  <c r="G109" i="46"/>
  <c r="G109" i="41"/>
  <c r="H109" i="41" s="1"/>
  <c r="D110" i="45"/>
  <c r="E110" i="45"/>
  <c r="G109" i="45"/>
  <c r="J108" i="45"/>
  <c r="G110" i="44"/>
  <c r="D111" i="44"/>
  <c r="J109" i="44"/>
  <c r="J108" i="38"/>
  <c r="G109" i="38"/>
  <c r="D110" i="38"/>
  <c r="E110" i="42"/>
  <c r="F110" i="42" s="1"/>
  <c r="B110" i="42"/>
  <c r="I109" i="42"/>
  <c r="H109" i="42"/>
  <c r="E110" i="41"/>
  <c r="F110" i="41" s="1"/>
  <c r="B110" i="41"/>
  <c r="J108" i="41"/>
  <c r="I118" i="11"/>
  <c r="H118" i="11"/>
  <c r="I115" i="22"/>
  <c r="H115" i="22"/>
  <c r="B119" i="11"/>
  <c r="F119" i="11"/>
  <c r="B111" i="30"/>
  <c r="F111" i="30"/>
  <c r="H115" i="25"/>
  <c r="I115" i="25"/>
  <c r="B119" i="9"/>
  <c r="F119" i="9"/>
  <c r="H112" i="27"/>
  <c r="I112" i="27"/>
  <c r="B118" i="8"/>
  <c r="F118" i="8"/>
  <c r="I118" i="9"/>
  <c r="H118" i="9"/>
  <c r="B118" i="6"/>
  <c r="F118" i="6"/>
  <c r="B114" i="24"/>
  <c r="F114" i="24"/>
  <c r="B112" i="28"/>
  <c r="F112" i="28"/>
  <c r="B115" i="23"/>
  <c r="F115" i="23"/>
  <c r="B109" i="37"/>
  <c r="F109" i="37"/>
  <c r="B109" i="39"/>
  <c r="F109" i="39"/>
  <c r="B120" i="7"/>
  <c r="F120" i="7"/>
  <c r="B117" i="4"/>
  <c r="F117" i="4"/>
  <c r="B120" i="10"/>
  <c r="F120" i="10"/>
  <c r="H113" i="24"/>
  <c r="I113" i="24"/>
  <c r="H111" i="28"/>
  <c r="I111" i="28"/>
  <c r="H114" i="23"/>
  <c r="I114" i="23"/>
  <c r="B112" i="31"/>
  <c r="F112" i="31"/>
  <c r="B108" i="40"/>
  <c r="F108" i="40"/>
  <c r="I108" i="37"/>
  <c r="H108" i="37"/>
  <c r="H108" i="39"/>
  <c r="I108" i="39"/>
  <c r="B117" i="3"/>
  <c r="F117" i="3"/>
  <c r="B117" i="5"/>
  <c r="F117" i="5"/>
  <c r="H119" i="7"/>
  <c r="I119" i="7"/>
  <c r="B112" i="29"/>
  <c r="F112" i="29"/>
  <c r="H110" i="30"/>
  <c r="I110" i="30"/>
  <c r="B109" i="43"/>
  <c r="F109" i="43"/>
  <c r="H111" i="29"/>
  <c r="I111" i="29"/>
  <c r="H117" i="8"/>
  <c r="I117" i="8"/>
  <c r="H117" i="6"/>
  <c r="I117" i="6"/>
  <c r="B116" i="22"/>
  <c r="F116" i="22"/>
  <c r="H108" i="43"/>
  <c r="I108" i="43"/>
  <c r="B116" i="25"/>
  <c r="F116" i="25"/>
  <c r="H116" i="4"/>
  <c r="I116" i="4"/>
  <c r="H119" i="10"/>
  <c r="I119" i="10"/>
  <c r="I111" i="31"/>
  <c r="H111" i="31"/>
  <c r="H107" i="40"/>
  <c r="I107" i="40"/>
  <c r="B113" i="27"/>
  <c r="F113" i="27"/>
  <c r="H116" i="3"/>
  <c r="I116" i="3"/>
  <c r="H116" i="5"/>
  <c r="I116" i="5"/>
  <c r="I109" i="41" l="1"/>
  <c r="F110" i="46"/>
  <c r="G110" i="46" s="1"/>
  <c r="H109" i="46"/>
  <c r="I109" i="46"/>
  <c r="J109" i="46" s="1"/>
  <c r="H109" i="47"/>
  <c r="I109" i="47"/>
  <c r="B110" i="47"/>
  <c r="F110" i="47"/>
  <c r="H109" i="45"/>
  <c r="I109" i="45"/>
  <c r="B110" i="45"/>
  <c r="F110" i="45"/>
  <c r="E111" i="44"/>
  <c r="F111" i="44" s="1"/>
  <c r="B111" i="44"/>
  <c r="I110" i="44"/>
  <c r="H110" i="44"/>
  <c r="J109" i="41"/>
  <c r="G110" i="41"/>
  <c r="D111" i="41"/>
  <c r="D111" i="42"/>
  <c r="B111" i="42" s="1"/>
  <c r="G110" i="42"/>
  <c r="E111" i="42"/>
  <c r="J109" i="42"/>
  <c r="E110" i="38"/>
  <c r="F110" i="38" s="1"/>
  <c r="B110" i="38"/>
  <c r="I109" i="38"/>
  <c r="H109" i="38"/>
  <c r="J118" i="9"/>
  <c r="J118" i="11"/>
  <c r="J111" i="31"/>
  <c r="J108" i="37"/>
  <c r="J116" i="5"/>
  <c r="G113" i="27"/>
  <c r="D114" i="27"/>
  <c r="E114" i="27"/>
  <c r="J116" i="4"/>
  <c r="J108" i="43"/>
  <c r="J117" i="6"/>
  <c r="J111" i="29"/>
  <c r="J110" i="30"/>
  <c r="J119" i="7"/>
  <c r="G117" i="3"/>
  <c r="D118" i="3"/>
  <c r="E118" i="3"/>
  <c r="G112" i="31"/>
  <c r="D113" i="31"/>
  <c r="E113" i="31"/>
  <c r="J111" i="28"/>
  <c r="G120" i="10"/>
  <c r="D121" i="10"/>
  <c r="E121" i="10"/>
  <c r="G120" i="7"/>
  <c r="D121" i="7"/>
  <c r="E121" i="7"/>
  <c r="G109" i="37"/>
  <c r="D110" i="37"/>
  <c r="E110" i="37"/>
  <c r="G112" i="28"/>
  <c r="D113" i="28"/>
  <c r="E113" i="28"/>
  <c r="G118" i="6"/>
  <c r="D119" i="6"/>
  <c r="E119" i="6"/>
  <c r="G118" i="8"/>
  <c r="D119" i="8"/>
  <c r="E119" i="8"/>
  <c r="G119" i="9"/>
  <c r="D120" i="9"/>
  <c r="E120" i="9"/>
  <c r="G111" i="30"/>
  <c r="D112" i="30"/>
  <c r="E112" i="30"/>
  <c r="J115" i="22"/>
  <c r="J116" i="3"/>
  <c r="J107" i="40"/>
  <c r="J119" i="10"/>
  <c r="G116" i="25"/>
  <c r="D117" i="25"/>
  <c r="E117" i="25"/>
  <c r="G116" i="22"/>
  <c r="D117" i="22"/>
  <c r="E117" i="22"/>
  <c r="J117" i="8"/>
  <c r="G109" i="43"/>
  <c r="D110" i="43"/>
  <c r="E110" i="43"/>
  <c r="G112" i="29"/>
  <c r="D113" i="29"/>
  <c r="E113" i="29"/>
  <c r="G117" i="5"/>
  <c r="D118" i="5"/>
  <c r="E118" i="5"/>
  <c r="J108" i="39"/>
  <c r="G108" i="40"/>
  <c r="D109" i="40"/>
  <c r="E109" i="40"/>
  <c r="J114" i="23"/>
  <c r="J113" i="24"/>
  <c r="G117" i="4"/>
  <c r="D118" i="4"/>
  <c r="E118" i="4"/>
  <c r="G109" i="39"/>
  <c r="D110" i="39"/>
  <c r="E110" i="39"/>
  <c r="G115" i="23"/>
  <c r="D116" i="23"/>
  <c r="E116" i="23"/>
  <c r="G114" i="24"/>
  <c r="D115" i="24"/>
  <c r="E115" i="24"/>
  <c r="J112" i="27"/>
  <c r="J115" i="25"/>
  <c r="G119" i="11"/>
  <c r="D120" i="11"/>
  <c r="E120" i="11"/>
  <c r="E111" i="46" l="1"/>
  <c r="D111" i="46"/>
  <c r="J109" i="47"/>
  <c r="B111" i="46"/>
  <c r="I110" i="46"/>
  <c r="H110" i="46"/>
  <c r="D111" i="47"/>
  <c r="E111" i="47" s="1"/>
  <c r="G110" i="47"/>
  <c r="J109" i="45"/>
  <c r="D111" i="45"/>
  <c r="E111" i="45"/>
  <c r="G110" i="45"/>
  <c r="G111" i="44"/>
  <c r="D112" i="44"/>
  <c r="B112" i="44" s="1"/>
  <c r="E112" i="44"/>
  <c r="J110" i="44"/>
  <c r="D111" i="38"/>
  <c r="B111" i="38" s="1"/>
  <c r="G110" i="38"/>
  <c r="E111" i="38"/>
  <c r="H110" i="42"/>
  <c r="I110" i="42"/>
  <c r="J109" i="38"/>
  <c r="E111" i="41"/>
  <c r="F111" i="41" s="1"/>
  <c r="B111" i="41"/>
  <c r="F111" i="42"/>
  <c r="H110" i="41"/>
  <c r="I110" i="41"/>
  <c r="B110" i="39"/>
  <c r="F110" i="39"/>
  <c r="H117" i="4"/>
  <c r="I117" i="4"/>
  <c r="B109" i="40"/>
  <c r="F109" i="40"/>
  <c r="B118" i="5"/>
  <c r="F118" i="5"/>
  <c r="H112" i="29"/>
  <c r="I112" i="29"/>
  <c r="B112" i="30"/>
  <c r="F112" i="30"/>
  <c r="H119" i="9"/>
  <c r="I119" i="9"/>
  <c r="B113" i="28"/>
  <c r="F113" i="28"/>
  <c r="I109" i="37"/>
  <c r="H109" i="37"/>
  <c r="B118" i="3"/>
  <c r="F118" i="3"/>
  <c r="B116" i="23"/>
  <c r="F116" i="23"/>
  <c r="H109" i="39"/>
  <c r="I109" i="39"/>
  <c r="I108" i="40"/>
  <c r="H108" i="40"/>
  <c r="H117" i="5"/>
  <c r="I117" i="5"/>
  <c r="B117" i="25"/>
  <c r="F117" i="25"/>
  <c r="H111" i="30"/>
  <c r="I111" i="30"/>
  <c r="B119" i="6"/>
  <c r="F119" i="6"/>
  <c r="H112" i="28"/>
  <c r="I112" i="28"/>
  <c r="B121" i="10"/>
  <c r="F121" i="10"/>
  <c r="B113" i="31"/>
  <c r="F113" i="31"/>
  <c r="I117" i="3"/>
  <c r="H117" i="3"/>
  <c r="B114" i="27"/>
  <c r="F114" i="27"/>
  <c r="B120" i="11"/>
  <c r="F120" i="11"/>
  <c r="H119" i="11"/>
  <c r="I119" i="11"/>
  <c r="B115" i="24"/>
  <c r="F115" i="24"/>
  <c r="H115" i="23"/>
  <c r="I115" i="23"/>
  <c r="B110" i="43"/>
  <c r="F110" i="43"/>
  <c r="B117" i="22"/>
  <c r="F117" i="22"/>
  <c r="H116" i="25"/>
  <c r="I116" i="25"/>
  <c r="B119" i="8"/>
  <c r="F119" i="8"/>
  <c r="H118" i="6"/>
  <c r="I118" i="6"/>
  <c r="B121" i="7"/>
  <c r="F121" i="7"/>
  <c r="H120" i="10"/>
  <c r="I120" i="10"/>
  <c r="I112" i="31"/>
  <c r="H112" i="31"/>
  <c r="H113" i="27"/>
  <c r="I113" i="27"/>
  <c r="H114" i="24"/>
  <c r="I114" i="24"/>
  <c r="B118" i="4"/>
  <c r="F118" i="4"/>
  <c r="B113" i="29"/>
  <c r="F113" i="29"/>
  <c r="H109" i="43"/>
  <c r="I109" i="43"/>
  <c r="H116" i="22"/>
  <c r="I116" i="22"/>
  <c r="B120" i="9"/>
  <c r="F120" i="9"/>
  <c r="H118" i="8"/>
  <c r="I118" i="8"/>
  <c r="B110" i="37"/>
  <c r="F110" i="37"/>
  <c r="H120" i="7"/>
  <c r="I120" i="7"/>
  <c r="F111" i="46" l="1"/>
  <c r="J110" i="46"/>
  <c r="H110" i="47"/>
  <c r="I110" i="47"/>
  <c r="D112" i="46"/>
  <c r="G111" i="46"/>
  <c r="E112" i="46"/>
  <c r="B111" i="47"/>
  <c r="F111" i="47"/>
  <c r="I110" i="45"/>
  <c r="H110" i="45"/>
  <c r="B111" i="45"/>
  <c r="F111" i="45"/>
  <c r="F112" i="44"/>
  <c r="E113" i="44" s="1"/>
  <c r="H111" i="44"/>
  <c r="I111" i="44"/>
  <c r="J110" i="41"/>
  <c r="F111" i="38"/>
  <c r="D112" i="38" s="1"/>
  <c r="B112" i="38" s="1"/>
  <c r="D112" i="41"/>
  <c r="G111" i="41"/>
  <c r="G111" i="42"/>
  <c r="D112" i="42"/>
  <c r="B112" i="42" s="1"/>
  <c r="E112" i="42"/>
  <c r="I110" i="38"/>
  <c r="H110" i="38"/>
  <c r="J110" i="42"/>
  <c r="J117" i="4"/>
  <c r="J108" i="40"/>
  <c r="J117" i="3"/>
  <c r="J109" i="37"/>
  <c r="J112" i="31"/>
  <c r="J120" i="7"/>
  <c r="J118" i="8"/>
  <c r="J116" i="22"/>
  <c r="G113" i="29"/>
  <c r="D114" i="29"/>
  <c r="E114" i="29"/>
  <c r="J114" i="24"/>
  <c r="G121" i="7"/>
  <c r="D122" i="7"/>
  <c r="E122" i="7"/>
  <c r="G119" i="8"/>
  <c r="D120" i="8"/>
  <c r="E120" i="8"/>
  <c r="G117" i="22"/>
  <c r="D118" i="22"/>
  <c r="E118" i="22"/>
  <c r="J115" i="23"/>
  <c r="J119" i="11"/>
  <c r="G114" i="27"/>
  <c r="D115" i="27"/>
  <c r="E115" i="27"/>
  <c r="G113" i="31"/>
  <c r="D114" i="31"/>
  <c r="E114" i="31"/>
  <c r="J112" i="28"/>
  <c r="J111" i="30"/>
  <c r="J117" i="5"/>
  <c r="J109" i="39"/>
  <c r="G118" i="3"/>
  <c r="D119" i="3"/>
  <c r="E119" i="3"/>
  <c r="G113" i="28"/>
  <c r="D114" i="28"/>
  <c r="E114" i="28"/>
  <c r="G112" i="30"/>
  <c r="D113" i="30"/>
  <c r="E113" i="30"/>
  <c r="G118" i="5"/>
  <c r="D119" i="5"/>
  <c r="E119" i="5"/>
  <c r="G110" i="37"/>
  <c r="D111" i="37"/>
  <c r="E111" i="37"/>
  <c r="G120" i="9"/>
  <c r="D121" i="9"/>
  <c r="E121" i="9"/>
  <c r="J109" i="43"/>
  <c r="G118" i="4"/>
  <c r="D119" i="4"/>
  <c r="E119" i="4"/>
  <c r="J113" i="27"/>
  <c r="J120" i="10"/>
  <c r="J118" i="6"/>
  <c r="J116" i="25"/>
  <c r="G110" i="43"/>
  <c r="D111" i="43"/>
  <c r="E111" i="43"/>
  <c r="G115" i="24"/>
  <c r="D116" i="24"/>
  <c r="E116" i="24"/>
  <c r="G120" i="11"/>
  <c r="D121" i="11"/>
  <c r="E121" i="11"/>
  <c r="G121" i="10"/>
  <c r="D122" i="10"/>
  <c r="E122" i="10"/>
  <c r="G119" i="6"/>
  <c r="D120" i="6"/>
  <c r="E120" i="6"/>
  <c r="G117" i="25"/>
  <c r="D118" i="25"/>
  <c r="E118" i="25"/>
  <c r="G116" i="23"/>
  <c r="D117" i="23"/>
  <c r="E117" i="23"/>
  <c r="J119" i="9"/>
  <c r="J112" i="29"/>
  <c r="G109" i="40"/>
  <c r="D110" i="40"/>
  <c r="E110" i="40"/>
  <c r="G110" i="39"/>
  <c r="D111" i="39"/>
  <c r="E111" i="39"/>
  <c r="J110" i="47" l="1"/>
  <c r="D112" i="47"/>
  <c r="E112" i="47" s="1"/>
  <c r="G111" i="47"/>
  <c r="F112" i="46"/>
  <c r="B112" i="46"/>
  <c r="I111" i="46"/>
  <c r="H111" i="46"/>
  <c r="E112" i="45"/>
  <c r="G111" i="45"/>
  <c r="D112" i="45"/>
  <c r="J110" i="45"/>
  <c r="D113" i="44"/>
  <c r="B113" i="44" s="1"/>
  <c r="G112" i="44"/>
  <c r="H112" i="44" s="1"/>
  <c r="J111" i="44"/>
  <c r="E112" i="38"/>
  <c r="F112" i="38" s="1"/>
  <c r="G111" i="38"/>
  <c r="H111" i="38" s="1"/>
  <c r="F112" i="42"/>
  <c r="I111" i="42"/>
  <c r="H111" i="42"/>
  <c r="I111" i="41"/>
  <c r="H111" i="41"/>
  <c r="J110" i="38"/>
  <c r="E112" i="41"/>
  <c r="F112" i="41" s="1"/>
  <c r="B112" i="41"/>
  <c r="B120" i="6"/>
  <c r="F120" i="6"/>
  <c r="I121" i="10"/>
  <c r="H121" i="10"/>
  <c r="B111" i="43"/>
  <c r="F111" i="43"/>
  <c r="I118" i="4"/>
  <c r="H118" i="4"/>
  <c r="I120" i="9"/>
  <c r="H120" i="9"/>
  <c r="B113" i="30"/>
  <c r="F113" i="30"/>
  <c r="H113" i="28"/>
  <c r="I113" i="28"/>
  <c r="B115" i="27"/>
  <c r="F115" i="27"/>
  <c r="B120" i="8"/>
  <c r="F120" i="8"/>
  <c r="H121" i="7"/>
  <c r="I121" i="7"/>
  <c r="H113" i="29"/>
  <c r="I113" i="29"/>
  <c r="H110" i="39"/>
  <c r="I110" i="39"/>
  <c r="B110" i="40"/>
  <c r="F110" i="40"/>
  <c r="B118" i="25"/>
  <c r="F118" i="25"/>
  <c r="H119" i="6"/>
  <c r="I119" i="6"/>
  <c r="B116" i="24"/>
  <c r="F116" i="24"/>
  <c r="I110" i="43"/>
  <c r="H110" i="43"/>
  <c r="B119" i="5"/>
  <c r="F119" i="5"/>
  <c r="H112" i="30"/>
  <c r="I112" i="30"/>
  <c r="B114" i="31"/>
  <c r="F114" i="31"/>
  <c r="I114" i="27"/>
  <c r="H114" i="27"/>
  <c r="B118" i="22"/>
  <c r="F118" i="22"/>
  <c r="H119" i="8"/>
  <c r="I119" i="8"/>
  <c r="B111" i="39"/>
  <c r="F111" i="39"/>
  <c r="H109" i="40"/>
  <c r="I109" i="40"/>
  <c r="B117" i="23"/>
  <c r="F117" i="23"/>
  <c r="H117" i="25"/>
  <c r="I117" i="25"/>
  <c r="B121" i="11"/>
  <c r="F121" i="11"/>
  <c r="H115" i="24"/>
  <c r="I115" i="24"/>
  <c r="B111" i="37"/>
  <c r="F111" i="37"/>
  <c r="H118" i="5"/>
  <c r="I118" i="5"/>
  <c r="B119" i="3"/>
  <c r="F119" i="3"/>
  <c r="H113" i="31"/>
  <c r="I113" i="31"/>
  <c r="H117" i="22"/>
  <c r="I117" i="22"/>
  <c r="I116" i="23"/>
  <c r="H116" i="23"/>
  <c r="B122" i="10"/>
  <c r="F122" i="10"/>
  <c r="I120" i="11"/>
  <c r="H120" i="11"/>
  <c r="B119" i="4"/>
  <c r="F119" i="4"/>
  <c r="B121" i="9"/>
  <c r="F121" i="9"/>
  <c r="H110" i="37"/>
  <c r="I110" i="37"/>
  <c r="B114" i="28"/>
  <c r="F114" i="28"/>
  <c r="I118" i="3"/>
  <c r="H118" i="3"/>
  <c r="B122" i="7"/>
  <c r="F122" i="7"/>
  <c r="B114" i="29"/>
  <c r="F114" i="29"/>
  <c r="G112" i="46" l="1"/>
  <c r="E113" i="46"/>
  <c r="D113" i="46"/>
  <c r="J111" i="46"/>
  <c r="H111" i="47"/>
  <c r="I111" i="47"/>
  <c r="B112" i="47"/>
  <c r="F112" i="47"/>
  <c r="I112" i="44"/>
  <c r="J112" i="44" s="1"/>
  <c r="B112" i="45"/>
  <c r="F112" i="45"/>
  <c r="I111" i="45"/>
  <c r="H111" i="45"/>
  <c r="F113" i="44"/>
  <c r="G113" i="44" s="1"/>
  <c r="I111" i="38"/>
  <c r="J111" i="38" s="1"/>
  <c r="J111" i="42"/>
  <c r="D113" i="41"/>
  <c r="G112" i="41"/>
  <c r="J111" i="41"/>
  <c r="J114" i="27"/>
  <c r="D113" i="38"/>
  <c r="B113" i="38" s="1"/>
  <c r="G112" i="38"/>
  <c r="E113" i="38"/>
  <c r="D113" i="42"/>
  <c r="B113" i="42" s="1"/>
  <c r="G112" i="42"/>
  <c r="E113" i="42"/>
  <c r="J110" i="43"/>
  <c r="J120" i="9"/>
  <c r="J113" i="31"/>
  <c r="J118" i="5"/>
  <c r="J118" i="3"/>
  <c r="G114" i="28"/>
  <c r="D115" i="28"/>
  <c r="E115" i="28"/>
  <c r="J120" i="11"/>
  <c r="G114" i="29"/>
  <c r="D115" i="29"/>
  <c r="E115" i="29"/>
  <c r="J110" i="37"/>
  <c r="G119" i="4"/>
  <c r="D120" i="4"/>
  <c r="E120" i="4"/>
  <c r="G122" i="10"/>
  <c r="D123" i="10"/>
  <c r="E123" i="10"/>
  <c r="J117" i="22"/>
  <c r="G119" i="3"/>
  <c r="D120" i="3"/>
  <c r="E120" i="3"/>
  <c r="G111" i="37"/>
  <c r="D112" i="37"/>
  <c r="E112" i="37"/>
  <c r="G121" i="11"/>
  <c r="D122" i="11"/>
  <c r="E122" i="11"/>
  <c r="G117" i="23"/>
  <c r="D118" i="23"/>
  <c r="E118" i="23"/>
  <c r="G111" i="39"/>
  <c r="D112" i="39"/>
  <c r="E112" i="39"/>
  <c r="G118" i="22"/>
  <c r="D119" i="22"/>
  <c r="E119" i="22"/>
  <c r="G114" i="31"/>
  <c r="D115" i="31"/>
  <c r="E115" i="31"/>
  <c r="G119" i="5"/>
  <c r="D120" i="5"/>
  <c r="E120" i="5"/>
  <c r="G116" i="24"/>
  <c r="D117" i="24"/>
  <c r="E117" i="24"/>
  <c r="G118" i="25"/>
  <c r="D119" i="25"/>
  <c r="E119" i="25"/>
  <c r="J110" i="39"/>
  <c r="J121" i="7"/>
  <c r="G115" i="27"/>
  <c r="D116" i="27"/>
  <c r="E116" i="27"/>
  <c r="G113" i="30"/>
  <c r="D114" i="30"/>
  <c r="E114" i="30"/>
  <c r="J118" i="4"/>
  <c r="J121" i="10"/>
  <c r="G122" i="7"/>
  <c r="D123" i="7"/>
  <c r="E123" i="7"/>
  <c r="G121" i="9"/>
  <c r="D122" i="9"/>
  <c r="E122" i="9"/>
  <c r="J115" i="24"/>
  <c r="J117" i="25"/>
  <c r="J109" i="40"/>
  <c r="J119" i="8"/>
  <c r="J112" i="30"/>
  <c r="J119" i="6"/>
  <c r="G110" i="40"/>
  <c r="D111" i="40"/>
  <c r="E111" i="40"/>
  <c r="J113" i="29"/>
  <c r="G120" i="8"/>
  <c r="D121" i="8"/>
  <c r="E121" i="8"/>
  <c r="J113" i="28"/>
  <c r="G111" i="43"/>
  <c r="D112" i="43"/>
  <c r="E112" i="43"/>
  <c r="G120" i="6"/>
  <c r="D121" i="6"/>
  <c r="E121" i="6"/>
  <c r="J116" i="23"/>
  <c r="J111" i="47" l="1"/>
  <c r="D113" i="47"/>
  <c r="E113" i="47" s="1"/>
  <c r="G112" i="47"/>
  <c r="B113" i="46"/>
  <c r="F113" i="46"/>
  <c r="I112" i="46"/>
  <c r="H112" i="46"/>
  <c r="E114" i="44"/>
  <c r="D114" i="44"/>
  <c r="B114" i="44" s="1"/>
  <c r="J111" i="45"/>
  <c r="E113" i="45"/>
  <c r="G112" i="45"/>
  <c r="D113" i="45"/>
  <c r="I113" i="44"/>
  <c r="H113" i="44"/>
  <c r="F113" i="42"/>
  <c r="G113" i="42" s="1"/>
  <c r="F113" i="38"/>
  <c r="G113" i="38" s="1"/>
  <c r="H112" i="38"/>
  <c r="I112" i="38"/>
  <c r="H112" i="42"/>
  <c r="I112" i="42"/>
  <c r="I112" i="41"/>
  <c r="H112" i="41"/>
  <c r="E113" i="41"/>
  <c r="F113" i="41" s="1"/>
  <c r="B113" i="41"/>
  <c r="B121" i="6"/>
  <c r="F121" i="6"/>
  <c r="H111" i="43"/>
  <c r="I111" i="43"/>
  <c r="H120" i="8"/>
  <c r="I120" i="8"/>
  <c r="H110" i="40"/>
  <c r="I110" i="40"/>
  <c r="B122" i="9"/>
  <c r="F122" i="9"/>
  <c r="H122" i="7"/>
  <c r="I122" i="7"/>
  <c r="B114" i="30"/>
  <c r="F114" i="30"/>
  <c r="H115" i="27"/>
  <c r="I115" i="27"/>
  <c r="B119" i="25"/>
  <c r="F119" i="25"/>
  <c r="I116" i="24"/>
  <c r="H116" i="24"/>
  <c r="B119" i="22"/>
  <c r="F119" i="22"/>
  <c r="H111" i="39"/>
  <c r="I111" i="39"/>
  <c r="B112" i="37"/>
  <c r="F112" i="37"/>
  <c r="H119" i="3"/>
  <c r="I119" i="3"/>
  <c r="H122" i="10"/>
  <c r="I122" i="10"/>
  <c r="B112" i="43"/>
  <c r="F112" i="43"/>
  <c r="H120" i="6"/>
  <c r="I120" i="6"/>
  <c r="H121" i="9"/>
  <c r="I121" i="9"/>
  <c r="I113" i="30"/>
  <c r="H113" i="30"/>
  <c r="H118" i="25"/>
  <c r="I118" i="25"/>
  <c r="B115" i="31"/>
  <c r="F115" i="31"/>
  <c r="I118" i="22"/>
  <c r="H118" i="22"/>
  <c r="B122" i="11"/>
  <c r="F122" i="11"/>
  <c r="H111" i="37"/>
  <c r="I111" i="37"/>
  <c r="B120" i="5"/>
  <c r="F120" i="5"/>
  <c r="I114" i="31"/>
  <c r="H114" i="31"/>
  <c r="B118" i="23"/>
  <c r="F118" i="23"/>
  <c r="H121" i="11"/>
  <c r="I121" i="11"/>
  <c r="B120" i="4"/>
  <c r="F120" i="4"/>
  <c r="B115" i="29"/>
  <c r="F115" i="29"/>
  <c r="B115" i="28"/>
  <c r="F115" i="28"/>
  <c r="B121" i="8"/>
  <c r="F121" i="8"/>
  <c r="B111" i="40"/>
  <c r="F111" i="40"/>
  <c r="B123" i="7"/>
  <c r="F123" i="7"/>
  <c r="B116" i="27"/>
  <c r="F116" i="27"/>
  <c r="B117" i="24"/>
  <c r="F117" i="24"/>
  <c r="I119" i="5"/>
  <c r="H119" i="5"/>
  <c r="B112" i="39"/>
  <c r="F112" i="39"/>
  <c r="H117" i="23"/>
  <c r="I117" i="23"/>
  <c r="B120" i="3"/>
  <c r="F120" i="3"/>
  <c r="B123" i="10"/>
  <c r="F123" i="10"/>
  <c r="H119" i="4"/>
  <c r="I119" i="4"/>
  <c r="I114" i="29"/>
  <c r="H114" i="29"/>
  <c r="H114" i="28"/>
  <c r="I114" i="28"/>
  <c r="J112" i="46" l="1"/>
  <c r="I112" i="47"/>
  <c r="H112" i="47"/>
  <c r="G113" i="46"/>
  <c r="E114" i="46"/>
  <c r="D114" i="46"/>
  <c r="B113" i="47"/>
  <c r="F113" i="47"/>
  <c r="F114" i="44"/>
  <c r="E115" i="44" s="1"/>
  <c r="B113" i="45"/>
  <c r="F113" i="45"/>
  <c r="I112" i="45"/>
  <c r="H112" i="45"/>
  <c r="D114" i="42"/>
  <c r="B114" i="42" s="1"/>
  <c r="D114" i="38"/>
  <c r="B114" i="38" s="1"/>
  <c r="J113" i="44"/>
  <c r="J112" i="42"/>
  <c r="J112" i="38"/>
  <c r="G113" i="41"/>
  <c r="D114" i="41"/>
  <c r="H113" i="42"/>
  <c r="I113" i="42"/>
  <c r="E114" i="42"/>
  <c r="E114" i="38"/>
  <c r="J112" i="41"/>
  <c r="I113" i="38"/>
  <c r="H113" i="38"/>
  <c r="J121" i="11"/>
  <c r="J111" i="37"/>
  <c r="J118" i="25"/>
  <c r="J119" i="3"/>
  <c r="J111" i="39"/>
  <c r="J115" i="27"/>
  <c r="J122" i="7"/>
  <c r="J110" i="40"/>
  <c r="J111" i="43"/>
  <c r="J120" i="8"/>
  <c r="J114" i="29"/>
  <c r="J119" i="5"/>
  <c r="J113" i="30"/>
  <c r="J114" i="28"/>
  <c r="J119" i="4"/>
  <c r="G120" i="3"/>
  <c r="D121" i="3"/>
  <c r="E121" i="3"/>
  <c r="G112" i="39"/>
  <c r="D113" i="39"/>
  <c r="E113" i="39"/>
  <c r="G117" i="24"/>
  <c r="D118" i="24"/>
  <c r="E118" i="24"/>
  <c r="G123" i="7"/>
  <c r="D124" i="7"/>
  <c r="E124" i="7"/>
  <c r="G121" i="8"/>
  <c r="D122" i="8"/>
  <c r="E122" i="8"/>
  <c r="G115" i="29"/>
  <c r="D116" i="29"/>
  <c r="E116" i="29"/>
  <c r="J121" i="9"/>
  <c r="G112" i="43"/>
  <c r="D113" i="43"/>
  <c r="E113" i="43"/>
  <c r="J114" i="31"/>
  <c r="J118" i="22"/>
  <c r="J116" i="24"/>
  <c r="G123" i="10"/>
  <c r="D124" i="10"/>
  <c r="E124" i="10"/>
  <c r="J117" i="23"/>
  <c r="G116" i="27"/>
  <c r="D117" i="27"/>
  <c r="E117" i="27"/>
  <c r="G111" i="40"/>
  <c r="D112" i="40"/>
  <c r="E112" i="40"/>
  <c r="G115" i="28"/>
  <c r="D116" i="28"/>
  <c r="E116" i="28"/>
  <c r="G120" i="4"/>
  <c r="D121" i="4"/>
  <c r="E121" i="4"/>
  <c r="G118" i="23"/>
  <c r="D119" i="23"/>
  <c r="E119" i="23"/>
  <c r="G120" i="5"/>
  <c r="D121" i="5"/>
  <c r="E121" i="5"/>
  <c r="G122" i="11"/>
  <c r="D123" i="11"/>
  <c r="E123" i="11"/>
  <c r="G115" i="31"/>
  <c r="D116" i="31"/>
  <c r="E116" i="31"/>
  <c r="J120" i="6"/>
  <c r="J122" i="10"/>
  <c r="G112" i="37"/>
  <c r="D113" i="37"/>
  <c r="E113" i="37"/>
  <c r="G119" i="22"/>
  <c r="D120" i="22"/>
  <c r="E120" i="22"/>
  <c r="G119" i="25"/>
  <c r="D120" i="25"/>
  <c r="E120" i="25"/>
  <c r="G114" i="30"/>
  <c r="D115" i="30"/>
  <c r="E115" i="30"/>
  <c r="G122" i="9"/>
  <c r="D123" i="9"/>
  <c r="E123" i="9"/>
  <c r="G121" i="6"/>
  <c r="D122" i="6"/>
  <c r="E122" i="6"/>
  <c r="B114" i="46" l="1"/>
  <c r="F114" i="46"/>
  <c r="J112" i="47"/>
  <c r="D114" i="47"/>
  <c r="E114" i="47" s="1"/>
  <c r="G113" i="47"/>
  <c r="I113" i="46"/>
  <c r="H113" i="46"/>
  <c r="G114" i="44"/>
  <c r="H114" i="44" s="1"/>
  <c r="D115" i="44"/>
  <c r="B115" i="44" s="1"/>
  <c r="F114" i="42"/>
  <c r="E115" i="42" s="1"/>
  <c r="D114" i="45"/>
  <c r="G113" i="45"/>
  <c r="E114" i="45"/>
  <c r="J112" i="45"/>
  <c r="F114" i="38"/>
  <c r="G114" i="38" s="1"/>
  <c r="J113" i="38"/>
  <c r="J113" i="42"/>
  <c r="E114" i="41"/>
  <c r="F114" i="41" s="1"/>
  <c r="B114" i="41"/>
  <c r="H113" i="41"/>
  <c r="I113" i="41"/>
  <c r="B115" i="30"/>
  <c r="F115" i="30"/>
  <c r="I119" i="25"/>
  <c r="H119" i="25"/>
  <c r="B121" i="5"/>
  <c r="F121" i="5"/>
  <c r="H118" i="23"/>
  <c r="I118" i="23"/>
  <c r="B112" i="40"/>
  <c r="F112" i="40"/>
  <c r="H116" i="27"/>
  <c r="I116" i="27"/>
  <c r="H123" i="10"/>
  <c r="I123" i="10"/>
  <c r="B122" i="8"/>
  <c r="F122" i="8"/>
  <c r="H123" i="7"/>
  <c r="I123" i="7"/>
  <c r="B121" i="3"/>
  <c r="F121" i="3"/>
  <c r="B123" i="9"/>
  <c r="F123" i="9"/>
  <c r="H114" i="30"/>
  <c r="I114" i="30"/>
  <c r="B113" i="37"/>
  <c r="F113" i="37"/>
  <c r="B123" i="11"/>
  <c r="F123" i="11"/>
  <c r="I120" i="5"/>
  <c r="H120" i="5"/>
  <c r="B116" i="28"/>
  <c r="F116" i="28"/>
  <c r="H111" i="40"/>
  <c r="I111" i="40"/>
  <c r="B113" i="43"/>
  <c r="F113" i="43"/>
  <c r="B116" i="29"/>
  <c r="F116" i="29"/>
  <c r="H121" i="8"/>
  <c r="I121" i="8"/>
  <c r="B113" i="39"/>
  <c r="F113" i="39"/>
  <c r="H120" i="3"/>
  <c r="I120" i="3"/>
  <c r="B120" i="22"/>
  <c r="F120" i="22"/>
  <c r="H112" i="37"/>
  <c r="I112" i="37"/>
  <c r="B116" i="31"/>
  <c r="F116" i="31"/>
  <c r="H122" i="11"/>
  <c r="I122" i="11"/>
  <c r="B121" i="4"/>
  <c r="F121" i="4"/>
  <c r="H115" i="28"/>
  <c r="I115" i="28"/>
  <c r="I112" i="43"/>
  <c r="H112" i="43"/>
  <c r="I115" i="29"/>
  <c r="H115" i="29"/>
  <c r="B118" i="24"/>
  <c r="F118" i="24"/>
  <c r="H112" i="39"/>
  <c r="I112" i="39"/>
  <c r="B122" i="6"/>
  <c r="F122" i="6"/>
  <c r="I122" i="9"/>
  <c r="H122" i="9"/>
  <c r="H121" i="6"/>
  <c r="I121" i="6"/>
  <c r="B120" i="25"/>
  <c r="F120" i="25"/>
  <c r="H119" i="22"/>
  <c r="I119" i="22"/>
  <c r="H115" i="31"/>
  <c r="I115" i="31"/>
  <c r="B119" i="23"/>
  <c r="F119" i="23"/>
  <c r="H120" i="4"/>
  <c r="I120" i="4"/>
  <c r="B117" i="27"/>
  <c r="F117" i="27"/>
  <c r="B124" i="10"/>
  <c r="F124" i="10"/>
  <c r="B124" i="7"/>
  <c r="F124" i="7"/>
  <c r="H117" i="24"/>
  <c r="I117" i="24"/>
  <c r="J113" i="46" l="1"/>
  <c r="B114" i="47"/>
  <c r="F114" i="47"/>
  <c r="D115" i="46"/>
  <c r="B115" i="46" s="1"/>
  <c r="G114" i="46"/>
  <c r="E115" i="46"/>
  <c r="H113" i="47"/>
  <c r="I113" i="47"/>
  <c r="D115" i="38"/>
  <c r="I114" i="44"/>
  <c r="J114" i="44" s="1"/>
  <c r="G114" i="42"/>
  <c r="H114" i="42" s="1"/>
  <c r="F115" i="44"/>
  <c r="D116" i="44" s="1"/>
  <c r="B116" i="44" s="1"/>
  <c r="D115" i="42"/>
  <c r="B115" i="42" s="1"/>
  <c r="H113" i="45"/>
  <c r="I113" i="45"/>
  <c r="B114" i="45"/>
  <c r="F114" i="45"/>
  <c r="J113" i="41"/>
  <c r="G114" i="41"/>
  <c r="D115" i="41"/>
  <c r="I114" i="38"/>
  <c r="H114" i="38"/>
  <c r="E115" i="38"/>
  <c r="F115" i="38" s="1"/>
  <c r="B115" i="38"/>
  <c r="J112" i="43"/>
  <c r="J120" i="5"/>
  <c r="J116" i="27"/>
  <c r="J117" i="24"/>
  <c r="J120" i="4"/>
  <c r="J119" i="25"/>
  <c r="J122" i="9"/>
  <c r="J115" i="29"/>
  <c r="G124" i="10"/>
  <c r="D125" i="10"/>
  <c r="E125" i="10"/>
  <c r="J115" i="31"/>
  <c r="G120" i="25"/>
  <c r="D121" i="25"/>
  <c r="E121" i="25"/>
  <c r="J112" i="39"/>
  <c r="J115" i="28"/>
  <c r="J122" i="11"/>
  <c r="J112" i="37"/>
  <c r="J120" i="3"/>
  <c r="J121" i="8"/>
  <c r="G113" i="43"/>
  <c r="D114" i="43"/>
  <c r="E114" i="43"/>
  <c r="G116" i="28"/>
  <c r="D117" i="28"/>
  <c r="E117" i="28"/>
  <c r="G123" i="11"/>
  <c r="D124" i="11"/>
  <c r="E124" i="11"/>
  <c r="J114" i="30"/>
  <c r="G121" i="3"/>
  <c r="D122" i="3"/>
  <c r="E122" i="3"/>
  <c r="G122" i="8"/>
  <c r="D123" i="8"/>
  <c r="E123" i="8"/>
  <c r="J118" i="23"/>
  <c r="G124" i="7"/>
  <c r="D125" i="7"/>
  <c r="E125" i="7"/>
  <c r="G117" i="27"/>
  <c r="D118" i="27"/>
  <c r="E118" i="27"/>
  <c r="G119" i="23"/>
  <c r="D120" i="23"/>
  <c r="E120" i="23"/>
  <c r="J119" i="22"/>
  <c r="J121" i="6"/>
  <c r="G122" i="6"/>
  <c r="D123" i="6"/>
  <c r="E123" i="6"/>
  <c r="G118" i="24"/>
  <c r="D119" i="24"/>
  <c r="E119" i="24"/>
  <c r="G121" i="4"/>
  <c r="D122" i="4"/>
  <c r="E122" i="4"/>
  <c r="G116" i="31"/>
  <c r="D117" i="31"/>
  <c r="E117" i="31"/>
  <c r="G120" i="22"/>
  <c r="D121" i="22"/>
  <c r="E121" i="22"/>
  <c r="G113" i="39"/>
  <c r="D114" i="39"/>
  <c r="E114" i="39"/>
  <c r="G116" i="29"/>
  <c r="D117" i="29"/>
  <c r="E117" i="29"/>
  <c r="J111" i="40"/>
  <c r="G113" i="37"/>
  <c r="D114" i="37"/>
  <c r="E114" i="37"/>
  <c r="G123" i="9"/>
  <c r="D124" i="9"/>
  <c r="E124" i="9"/>
  <c r="J123" i="7"/>
  <c r="J123" i="10"/>
  <c r="G112" i="40"/>
  <c r="D113" i="40"/>
  <c r="E113" i="40"/>
  <c r="G121" i="5"/>
  <c r="D122" i="5"/>
  <c r="E122" i="5"/>
  <c r="G115" i="30"/>
  <c r="D116" i="30"/>
  <c r="E116" i="30"/>
  <c r="J113" i="47" l="1"/>
  <c r="I114" i="42"/>
  <c r="D115" i="47"/>
  <c r="E115" i="47" s="1"/>
  <c r="G114" i="47"/>
  <c r="F115" i="46"/>
  <c r="H114" i="46"/>
  <c r="I114" i="46"/>
  <c r="F115" i="42"/>
  <c r="D116" i="42" s="1"/>
  <c r="B116" i="42" s="1"/>
  <c r="E116" i="44"/>
  <c r="F116" i="44" s="1"/>
  <c r="G116" i="44" s="1"/>
  <c r="G115" i="44"/>
  <c r="J113" i="45"/>
  <c r="G114" i="45"/>
  <c r="E115" i="45"/>
  <c r="D115" i="45"/>
  <c r="J114" i="38"/>
  <c r="D116" i="38"/>
  <c r="G115" i="38"/>
  <c r="J114" i="42"/>
  <c r="E115" i="41"/>
  <c r="F115" i="41" s="1"/>
  <c r="B115" i="41"/>
  <c r="I114" i="41"/>
  <c r="H114" i="41"/>
  <c r="B116" i="30"/>
  <c r="F116" i="30"/>
  <c r="B122" i="5"/>
  <c r="F122" i="5"/>
  <c r="H112" i="40"/>
  <c r="I112" i="40"/>
  <c r="B124" i="9"/>
  <c r="F124" i="9"/>
  <c r="H113" i="37"/>
  <c r="I113" i="37"/>
  <c r="H116" i="29"/>
  <c r="I116" i="29"/>
  <c r="B117" i="31"/>
  <c r="F117" i="31"/>
  <c r="H121" i="4"/>
  <c r="I121" i="4"/>
  <c r="B125" i="7"/>
  <c r="F125" i="7"/>
  <c r="B123" i="8"/>
  <c r="F123" i="8"/>
  <c r="H121" i="3"/>
  <c r="I121" i="3"/>
  <c r="H123" i="11"/>
  <c r="I123" i="11"/>
  <c r="H121" i="5"/>
  <c r="I121" i="5"/>
  <c r="I123" i="9"/>
  <c r="H123" i="9"/>
  <c r="B121" i="22"/>
  <c r="F121" i="22"/>
  <c r="H116" i="31"/>
  <c r="I116" i="31"/>
  <c r="B123" i="6"/>
  <c r="F123" i="6"/>
  <c r="B118" i="27"/>
  <c r="F118" i="27"/>
  <c r="H124" i="7"/>
  <c r="I124" i="7"/>
  <c r="H122" i="8"/>
  <c r="I122" i="8"/>
  <c r="B114" i="43"/>
  <c r="F114" i="43"/>
  <c r="H115" i="30"/>
  <c r="I115" i="30"/>
  <c r="B114" i="39"/>
  <c r="F114" i="39"/>
  <c r="H120" i="22"/>
  <c r="I120" i="22"/>
  <c r="B119" i="24"/>
  <c r="F119" i="24"/>
  <c r="H122" i="6"/>
  <c r="I122" i="6"/>
  <c r="B120" i="23"/>
  <c r="F120" i="23"/>
  <c r="H117" i="27"/>
  <c r="I117" i="27"/>
  <c r="B117" i="28"/>
  <c r="F117" i="28"/>
  <c r="I113" i="43"/>
  <c r="H113" i="43"/>
  <c r="B121" i="25"/>
  <c r="F121" i="25"/>
  <c r="B125" i="10"/>
  <c r="F125" i="10"/>
  <c r="B113" i="40"/>
  <c r="F113" i="40"/>
  <c r="B114" i="37"/>
  <c r="F114" i="37"/>
  <c r="B117" i="29"/>
  <c r="F117" i="29"/>
  <c r="H113" i="39"/>
  <c r="I113" i="39"/>
  <c r="B122" i="4"/>
  <c r="F122" i="4"/>
  <c r="I118" i="24"/>
  <c r="H118" i="24"/>
  <c r="H119" i="23"/>
  <c r="I119" i="23"/>
  <c r="B122" i="3"/>
  <c r="F122" i="3"/>
  <c r="B124" i="11"/>
  <c r="F124" i="11"/>
  <c r="I116" i="28"/>
  <c r="H116" i="28"/>
  <c r="H120" i="25"/>
  <c r="I120" i="25"/>
  <c r="I124" i="10"/>
  <c r="H124" i="10"/>
  <c r="G115" i="46" l="1"/>
  <c r="E116" i="46"/>
  <c r="D116" i="46"/>
  <c r="J114" i="46"/>
  <c r="I114" i="47"/>
  <c r="H114" i="47"/>
  <c r="F115" i="47"/>
  <c r="B115" i="47"/>
  <c r="D117" i="44"/>
  <c r="G115" i="42"/>
  <c r="H115" i="42" s="1"/>
  <c r="E116" i="42"/>
  <c r="F116" i="42" s="1"/>
  <c r="I115" i="44"/>
  <c r="H115" i="44"/>
  <c r="B115" i="45"/>
  <c r="F115" i="45"/>
  <c r="I114" i="45"/>
  <c r="H114" i="45"/>
  <c r="H116" i="44"/>
  <c r="I116" i="44"/>
  <c r="E117" i="44"/>
  <c r="F117" i="44" s="1"/>
  <c r="B117" i="44"/>
  <c r="D116" i="41"/>
  <c r="B116" i="41" s="1"/>
  <c r="G115" i="41"/>
  <c r="E116" i="41"/>
  <c r="J114" i="41"/>
  <c r="H115" i="38"/>
  <c r="I115" i="38"/>
  <c r="E116" i="38"/>
  <c r="F116" i="38" s="1"/>
  <c r="B116" i="38"/>
  <c r="J123" i="9"/>
  <c r="J124" i="10"/>
  <c r="J116" i="28"/>
  <c r="J118" i="24"/>
  <c r="J113" i="43"/>
  <c r="G122" i="3"/>
  <c r="D123" i="3"/>
  <c r="E123" i="3"/>
  <c r="J113" i="39"/>
  <c r="G114" i="37"/>
  <c r="D115" i="37"/>
  <c r="E115" i="37"/>
  <c r="G125" i="10"/>
  <c r="D126" i="10"/>
  <c r="E126" i="10"/>
  <c r="J117" i="27"/>
  <c r="J122" i="6"/>
  <c r="J120" i="22"/>
  <c r="J115" i="30"/>
  <c r="J122" i="8"/>
  <c r="G118" i="27"/>
  <c r="D119" i="27"/>
  <c r="E119" i="27"/>
  <c r="J116" i="31"/>
  <c r="J123" i="11"/>
  <c r="G123" i="8"/>
  <c r="D124" i="8"/>
  <c r="E124" i="8"/>
  <c r="J121" i="4"/>
  <c r="J116" i="29"/>
  <c r="G124" i="9"/>
  <c r="D125" i="9"/>
  <c r="E125" i="9"/>
  <c r="G122" i="5"/>
  <c r="D123" i="5"/>
  <c r="E123" i="5"/>
  <c r="J120" i="25"/>
  <c r="G124" i="11"/>
  <c r="D125" i="11"/>
  <c r="E125" i="11"/>
  <c r="J119" i="23"/>
  <c r="G122" i="4"/>
  <c r="D123" i="4"/>
  <c r="E123" i="4"/>
  <c r="G117" i="29"/>
  <c r="D118" i="29"/>
  <c r="E118" i="29"/>
  <c r="G113" i="40"/>
  <c r="D114" i="40"/>
  <c r="E114" i="40"/>
  <c r="G121" i="25"/>
  <c r="D122" i="25"/>
  <c r="E122" i="25"/>
  <c r="G117" i="28"/>
  <c r="D118" i="28"/>
  <c r="E118" i="28"/>
  <c r="G120" i="23"/>
  <c r="D121" i="23"/>
  <c r="E121" i="23"/>
  <c r="G119" i="24"/>
  <c r="D120" i="24"/>
  <c r="E120" i="24"/>
  <c r="G114" i="39"/>
  <c r="D115" i="39"/>
  <c r="E115" i="39"/>
  <c r="G114" i="43"/>
  <c r="D115" i="43"/>
  <c r="E115" i="43"/>
  <c r="J124" i="7"/>
  <c r="G123" i="6"/>
  <c r="D124" i="6"/>
  <c r="E124" i="6"/>
  <c r="G121" i="22"/>
  <c r="D122" i="22"/>
  <c r="E122" i="22"/>
  <c r="J121" i="5"/>
  <c r="J121" i="3"/>
  <c r="G125" i="7"/>
  <c r="D126" i="7"/>
  <c r="E126" i="7"/>
  <c r="G117" i="31"/>
  <c r="D118" i="31"/>
  <c r="E118" i="31"/>
  <c r="J113" i="37"/>
  <c r="J112" i="40"/>
  <c r="G116" i="30"/>
  <c r="D117" i="30"/>
  <c r="E117" i="30"/>
  <c r="G115" i="47" l="1"/>
  <c r="D116" i="47"/>
  <c r="E116" i="47" s="1"/>
  <c r="F116" i="46"/>
  <c r="B116" i="46"/>
  <c r="J114" i="47"/>
  <c r="H115" i="46"/>
  <c r="I115" i="46"/>
  <c r="I115" i="42"/>
  <c r="J115" i="42" s="1"/>
  <c r="J115" i="44"/>
  <c r="J116" i="44"/>
  <c r="G115" i="45"/>
  <c r="D116" i="45"/>
  <c r="E116" i="45"/>
  <c r="J114" i="45"/>
  <c r="G117" i="44"/>
  <c r="D118" i="44"/>
  <c r="B118" i="44" s="1"/>
  <c r="E118" i="44"/>
  <c r="F116" i="41"/>
  <c r="G116" i="41" s="1"/>
  <c r="D117" i="38"/>
  <c r="G116" i="38"/>
  <c r="J115" i="38"/>
  <c r="I115" i="41"/>
  <c r="H115" i="41"/>
  <c r="G116" i="42"/>
  <c r="D117" i="42"/>
  <c r="B126" i="7"/>
  <c r="F126" i="7"/>
  <c r="B115" i="43"/>
  <c r="F115" i="43"/>
  <c r="H116" i="30"/>
  <c r="I116" i="30"/>
  <c r="B122" i="22"/>
  <c r="F122" i="22"/>
  <c r="H114" i="43"/>
  <c r="I114" i="43"/>
  <c r="H117" i="31"/>
  <c r="I117" i="31"/>
  <c r="I121" i="22"/>
  <c r="H121" i="22"/>
  <c r="B120" i="24"/>
  <c r="F120" i="24"/>
  <c r="H120" i="23"/>
  <c r="I120" i="23"/>
  <c r="B114" i="40"/>
  <c r="F114" i="40"/>
  <c r="H117" i="29"/>
  <c r="I117" i="29"/>
  <c r="I118" i="27"/>
  <c r="H118" i="27"/>
  <c r="I125" i="10"/>
  <c r="H125" i="10"/>
  <c r="B115" i="39"/>
  <c r="F115" i="39"/>
  <c r="H119" i="24"/>
  <c r="I119" i="24"/>
  <c r="B122" i="25"/>
  <c r="F122" i="25"/>
  <c r="H113" i="40"/>
  <c r="I113" i="40"/>
  <c r="B125" i="9"/>
  <c r="F125" i="9"/>
  <c r="B117" i="30"/>
  <c r="F117" i="30"/>
  <c r="B124" i="6"/>
  <c r="F124" i="6"/>
  <c r="H114" i="39"/>
  <c r="I114" i="39"/>
  <c r="B118" i="28"/>
  <c r="F118" i="28"/>
  <c r="I121" i="25"/>
  <c r="H121" i="25"/>
  <c r="B123" i="4"/>
  <c r="F123" i="4"/>
  <c r="B125" i="11"/>
  <c r="F125" i="11"/>
  <c r="B123" i="5"/>
  <c r="F123" i="5"/>
  <c r="H124" i="9"/>
  <c r="I124" i="9"/>
  <c r="B124" i="8"/>
  <c r="F124" i="8"/>
  <c r="B115" i="37"/>
  <c r="F115" i="37"/>
  <c r="B123" i="3"/>
  <c r="F123" i="3"/>
  <c r="B118" i="31"/>
  <c r="F118" i="31"/>
  <c r="I125" i="7"/>
  <c r="H125" i="7"/>
  <c r="I123" i="6"/>
  <c r="H123" i="6"/>
  <c r="B121" i="23"/>
  <c r="F121" i="23"/>
  <c r="H117" i="28"/>
  <c r="I117" i="28"/>
  <c r="B118" i="29"/>
  <c r="F118" i="29"/>
  <c r="H122" i="4"/>
  <c r="I122" i="4"/>
  <c r="H124" i="11"/>
  <c r="I124" i="11"/>
  <c r="H122" i="5"/>
  <c r="I122" i="5"/>
  <c r="H123" i="8"/>
  <c r="I123" i="8"/>
  <c r="B119" i="27"/>
  <c r="F119" i="27"/>
  <c r="B126" i="10"/>
  <c r="F126" i="10"/>
  <c r="H114" i="37"/>
  <c r="I114" i="37"/>
  <c r="H122" i="3"/>
  <c r="I122" i="3"/>
  <c r="J115" i="46" l="1"/>
  <c r="E117" i="46"/>
  <c r="G116" i="46"/>
  <c r="D117" i="46"/>
  <c r="B117" i="46" s="1"/>
  <c r="B116" i="47"/>
  <c r="F116" i="47"/>
  <c r="H115" i="47"/>
  <c r="I115" i="47"/>
  <c r="B116" i="45"/>
  <c r="F116" i="45"/>
  <c r="I115" i="45"/>
  <c r="H115" i="45"/>
  <c r="F118" i="44"/>
  <c r="G118" i="44" s="1"/>
  <c r="D117" i="41"/>
  <c r="B117" i="41" s="1"/>
  <c r="I117" i="44"/>
  <c r="H117" i="44"/>
  <c r="H116" i="42"/>
  <c r="I116" i="42"/>
  <c r="I116" i="41"/>
  <c r="H116" i="41"/>
  <c r="J115" i="41"/>
  <c r="H116" i="38"/>
  <c r="I116" i="38"/>
  <c r="E117" i="42"/>
  <c r="F117" i="42" s="1"/>
  <c r="B117" i="42"/>
  <c r="E117" i="41"/>
  <c r="E117" i="38"/>
  <c r="F117" i="38" s="1"/>
  <c r="B117" i="38"/>
  <c r="J121" i="22"/>
  <c r="J118" i="27"/>
  <c r="J125" i="7"/>
  <c r="J114" i="37"/>
  <c r="J122" i="5"/>
  <c r="J122" i="4"/>
  <c r="J117" i="28"/>
  <c r="J124" i="9"/>
  <c r="J114" i="39"/>
  <c r="J113" i="40"/>
  <c r="J119" i="24"/>
  <c r="J117" i="29"/>
  <c r="J120" i="23"/>
  <c r="J122" i="3"/>
  <c r="G126" i="10"/>
  <c r="D127" i="10"/>
  <c r="E127" i="10"/>
  <c r="J123" i="8"/>
  <c r="J124" i="11"/>
  <c r="G118" i="29"/>
  <c r="D119" i="29"/>
  <c r="E119" i="29"/>
  <c r="G121" i="23"/>
  <c r="D122" i="23"/>
  <c r="E122" i="23"/>
  <c r="G123" i="3"/>
  <c r="D124" i="3"/>
  <c r="E124" i="3"/>
  <c r="G124" i="8"/>
  <c r="D125" i="8"/>
  <c r="E125" i="8"/>
  <c r="G123" i="5"/>
  <c r="D124" i="5"/>
  <c r="E124" i="5"/>
  <c r="G123" i="4"/>
  <c r="D124" i="4"/>
  <c r="E124" i="4"/>
  <c r="G118" i="28"/>
  <c r="D119" i="28"/>
  <c r="E119" i="28"/>
  <c r="G124" i="6"/>
  <c r="D125" i="6"/>
  <c r="E125" i="6"/>
  <c r="G125" i="9"/>
  <c r="D126" i="9"/>
  <c r="E126" i="9"/>
  <c r="G122" i="25"/>
  <c r="D123" i="25"/>
  <c r="E123" i="25"/>
  <c r="G115" i="39"/>
  <c r="D116" i="39"/>
  <c r="E116" i="39"/>
  <c r="G114" i="40"/>
  <c r="D115" i="40"/>
  <c r="E115" i="40"/>
  <c r="G120" i="24"/>
  <c r="D121" i="24"/>
  <c r="E121" i="24"/>
  <c r="J117" i="31"/>
  <c r="G122" i="22"/>
  <c r="D123" i="22"/>
  <c r="E123" i="22"/>
  <c r="G115" i="43"/>
  <c r="D116" i="43"/>
  <c r="E116" i="43"/>
  <c r="G119" i="27"/>
  <c r="D120" i="27"/>
  <c r="E120" i="27"/>
  <c r="G118" i="31"/>
  <c r="D119" i="31"/>
  <c r="E119" i="31"/>
  <c r="G115" i="37"/>
  <c r="D116" i="37"/>
  <c r="E116" i="37"/>
  <c r="G125" i="11"/>
  <c r="D126" i="11"/>
  <c r="E126" i="11"/>
  <c r="G117" i="30"/>
  <c r="D118" i="30"/>
  <c r="E118" i="30"/>
  <c r="J114" i="43"/>
  <c r="J116" i="30"/>
  <c r="G126" i="7"/>
  <c r="D127" i="7"/>
  <c r="E127" i="7"/>
  <c r="J123" i="6"/>
  <c r="J121" i="25"/>
  <c r="J125" i="10"/>
  <c r="J115" i="47" l="1"/>
  <c r="H116" i="46"/>
  <c r="I116" i="46"/>
  <c r="D117" i="47"/>
  <c r="E117" i="47" s="1"/>
  <c r="G116" i="47"/>
  <c r="F117" i="46"/>
  <c r="G116" i="45"/>
  <c r="E117" i="45"/>
  <c r="D117" i="45"/>
  <c r="J115" i="45"/>
  <c r="D119" i="44"/>
  <c r="B119" i="44" s="1"/>
  <c r="J116" i="42"/>
  <c r="F117" i="41"/>
  <c r="D118" i="41" s="1"/>
  <c r="B118" i="41" s="1"/>
  <c r="J116" i="38"/>
  <c r="J117" i="44"/>
  <c r="E119" i="44"/>
  <c r="H118" i="44"/>
  <c r="I118" i="44"/>
  <c r="G117" i="42"/>
  <c r="D118" i="42"/>
  <c r="D118" i="38"/>
  <c r="B118" i="38" s="1"/>
  <c r="G117" i="38"/>
  <c r="E118" i="38"/>
  <c r="J116" i="41"/>
  <c r="B116" i="37"/>
  <c r="F116" i="37"/>
  <c r="H118" i="31"/>
  <c r="I118" i="31"/>
  <c r="B123" i="22"/>
  <c r="F123" i="22"/>
  <c r="B121" i="24"/>
  <c r="F121" i="24"/>
  <c r="H114" i="40"/>
  <c r="I114" i="40"/>
  <c r="B126" i="9"/>
  <c r="F126" i="9"/>
  <c r="H124" i="6"/>
  <c r="I124" i="6"/>
  <c r="B124" i="5"/>
  <c r="F124" i="5"/>
  <c r="I124" i="8"/>
  <c r="H124" i="8"/>
  <c r="B119" i="29"/>
  <c r="F119" i="29"/>
  <c r="B127" i="7"/>
  <c r="F127" i="7"/>
  <c r="B126" i="11"/>
  <c r="F126" i="11"/>
  <c r="I115" i="37"/>
  <c r="H115" i="37"/>
  <c r="B116" i="43"/>
  <c r="F116" i="43"/>
  <c r="I122" i="22"/>
  <c r="H122" i="22"/>
  <c r="H120" i="24"/>
  <c r="I120" i="24"/>
  <c r="B123" i="25"/>
  <c r="F123" i="25"/>
  <c r="H125" i="9"/>
  <c r="I125" i="9"/>
  <c r="B124" i="4"/>
  <c r="F124" i="4"/>
  <c r="H123" i="5"/>
  <c r="I123" i="5"/>
  <c r="B122" i="23"/>
  <c r="F122" i="23"/>
  <c r="H118" i="29"/>
  <c r="I118" i="29"/>
  <c r="B127" i="10"/>
  <c r="F127" i="10"/>
  <c r="B118" i="30"/>
  <c r="F118" i="30"/>
  <c r="H125" i="11"/>
  <c r="I125" i="11"/>
  <c r="B120" i="27"/>
  <c r="F120" i="27"/>
  <c r="H115" i="43"/>
  <c r="I115" i="43"/>
  <c r="B116" i="39"/>
  <c r="F116" i="39"/>
  <c r="H122" i="25"/>
  <c r="I122" i="25"/>
  <c r="B119" i="28"/>
  <c r="F119" i="28"/>
  <c r="I123" i="4"/>
  <c r="H123" i="4"/>
  <c r="B124" i="3"/>
  <c r="F124" i="3"/>
  <c r="I121" i="23"/>
  <c r="H121" i="23"/>
  <c r="H126" i="10"/>
  <c r="I126" i="10"/>
  <c r="I126" i="7"/>
  <c r="H126" i="7"/>
  <c r="H117" i="30"/>
  <c r="I117" i="30"/>
  <c r="B119" i="31"/>
  <c r="F119" i="31"/>
  <c r="I119" i="27"/>
  <c r="H119" i="27"/>
  <c r="B115" i="40"/>
  <c r="F115" i="40"/>
  <c r="H115" i="39"/>
  <c r="I115" i="39"/>
  <c r="B125" i="6"/>
  <c r="F125" i="6"/>
  <c r="H118" i="28"/>
  <c r="I118" i="28"/>
  <c r="B125" i="8"/>
  <c r="F125" i="8"/>
  <c r="H123" i="3"/>
  <c r="I123" i="3"/>
  <c r="J116" i="46" l="1"/>
  <c r="H116" i="47"/>
  <c r="I116" i="47"/>
  <c r="B117" i="47"/>
  <c r="F117" i="47"/>
  <c r="E118" i="46"/>
  <c r="G117" i="46"/>
  <c r="D118" i="46"/>
  <c r="B117" i="45"/>
  <c r="F117" i="45"/>
  <c r="H116" i="45"/>
  <c r="I116" i="45"/>
  <c r="G117" i="41"/>
  <c r="H117" i="41" s="1"/>
  <c r="F119" i="44"/>
  <c r="D120" i="44" s="1"/>
  <c r="B120" i="44" s="1"/>
  <c r="E118" i="41"/>
  <c r="F118" i="41" s="1"/>
  <c r="J118" i="44"/>
  <c r="F118" i="38"/>
  <c r="E119" i="38" s="1"/>
  <c r="H117" i="38"/>
  <c r="I117" i="38"/>
  <c r="E118" i="42"/>
  <c r="F118" i="42" s="1"/>
  <c r="B118" i="42"/>
  <c r="H117" i="42"/>
  <c r="I117" i="42"/>
  <c r="J118" i="31"/>
  <c r="J124" i="6"/>
  <c r="J119" i="27"/>
  <c r="J126" i="7"/>
  <c r="J121" i="23"/>
  <c r="J123" i="4"/>
  <c r="J122" i="22"/>
  <c r="J115" i="37"/>
  <c r="J123" i="3"/>
  <c r="J118" i="28"/>
  <c r="J115" i="39"/>
  <c r="J117" i="30"/>
  <c r="J126" i="10"/>
  <c r="G124" i="3"/>
  <c r="D125" i="3"/>
  <c r="E125" i="3"/>
  <c r="G119" i="28"/>
  <c r="D120" i="28"/>
  <c r="E120" i="28"/>
  <c r="G116" i="39"/>
  <c r="D117" i="39"/>
  <c r="E117" i="39"/>
  <c r="G120" i="27"/>
  <c r="D121" i="27"/>
  <c r="E121" i="27"/>
  <c r="G118" i="30"/>
  <c r="D119" i="30"/>
  <c r="E119" i="30"/>
  <c r="J118" i="29"/>
  <c r="J123" i="5"/>
  <c r="J125" i="9"/>
  <c r="J120" i="24"/>
  <c r="G116" i="43"/>
  <c r="D117" i="43"/>
  <c r="E117" i="43"/>
  <c r="G126" i="11"/>
  <c r="D127" i="11"/>
  <c r="E127" i="11"/>
  <c r="G119" i="29"/>
  <c r="D120" i="29"/>
  <c r="E120" i="29"/>
  <c r="G124" i="5"/>
  <c r="D125" i="5"/>
  <c r="E125" i="5"/>
  <c r="G126" i="9"/>
  <c r="D127" i="9"/>
  <c r="E127" i="9"/>
  <c r="G121" i="24"/>
  <c r="D122" i="24"/>
  <c r="E122" i="24"/>
  <c r="G125" i="8"/>
  <c r="D126" i="8"/>
  <c r="E126" i="8" s="1"/>
  <c r="G125" i="6"/>
  <c r="D126" i="6"/>
  <c r="E126" i="6"/>
  <c r="G115" i="40"/>
  <c r="D116" i="40"/>
  <c r="E116" i="40"/>
  <c r="G119" i="31"/>
  <c r="D120" i="31"/>
  <c r="E120" i="31"/>
  <c r="J122" i="25"/>
  <c r="J115" i="43"/>
  <c r="J125" i="11"/>
  <c r="G127" i="10"/>
  <c r="D128" i="10"/>
  <c r="E128" i="10"/>
  <c r="G122" i="23"/>
  <c r="D123" i="23"/>
  <c r="E123" i="23"/>
  <c r="G124" i="4"/>
  <c r="D125" i="4"/>
  <c r="E125" i="4"/>
  <c r="G123" i="25"/>
  <c r="D124" i="25"/>
  <c r="E124" i="25"/>
  <c r="G127" i="7"/>
  <c r="D128" i="7"/>
  <c r="E128" i="7"/>
  <c r="J114" i="40"/>
  <c r="G123" i="22"/>
  <c r="D124" i="22"/>
  <c r="E124" i="22"/>
  <c r="G116" i="37"/>
  <c r="D117" i="37"/>
  <c r="E117" i="37"/>
  <c r="J124" i="8"/>
  <c r="J116" i="47" l="1"/>
  <c r="D118" i="47"/>
  <c r="E118" i="47" s="1"/>
  <c r="G117" i="47"/>
  <c r="F118" i="46"/>
  <c r="B118" i="46"/>
  <c r="I117" i="46"/>
  <c r="H117" i="46"/>
  <c r="I117" i="41"/>
  <c r="J117" i="41" s="1"/>
  <c r="J116" i="45"/>
  <c r="E118" i="45"/>
  <c r="D118" i="45"/>
  <c r="G117" i="45"/>
  <c r="E120" i="44"/>
  <c r="F120" i="44" s="1"/>
  <c r="D121" i="44" s="1"/>
  <c r="B121" i="44" s="1"/>
  <c r="D119" i="38"/>
  <c r="B119" i="38" s="1"/>
  <c r="G119" i="44"/>
  <c r="H119" i="44" s="1"/>
  <c r="G118" i="38"/>
  <c r="H118" i="38" s="1"/>
  <c r="G118" i="42"/>
  <c r="D119" i="42"/>
  <c r="B119" i="42" s="1"/>
  <c r="E119" i="42"/>
  <c r="D119" i="41"/>
  <c r="G118" i="41"/>
  <c r="J117" i="42"/>
  <c r="J117" i="38"/>
  <c r="H116" i="37"/>
  <c r="I116" i="37"/>
  <c r="B124" i="25"/>
  <c r="F124" i="25"/>
  <c r="H124" i="4"/>
  <c r="I124" i="4"/>
  <c r="H119" i="31"/>
  <c r="I119" i="31"/>
  <c r="B126" i="8"/>
  <c r="F126" i="8"/>
  <c r="H121" i="24"/>
  <c r="I121" i="24"/>
  <c r="B120" i="29"/>
  <c r="F120" i="29"/>
  <c r="H126" i="11"/>
  <c r="I126" i="11"/>
  <c r="B121" i="27"/>
  <c r="F121" i="27"/>
  <c r="H116" i="39"/>
  <c r="I116" i="39"/>
  <c r="B128" i="7"/>
  <c r="F128" i="7"/>
  <c r="B128" i="10"/>
  <c r="F128" i="10"/>
  <c r="B126" i="6"/>
  <c r="F126" i="6"/>
  <c r="H125" i="8"/>
  <c r="I125" i="8"/>
  <c r="B125" i="5"/>
  <c r="F125" i="5"/>
  <c r="H119" i="29"/>
  <c r="I119" i="29"/>
  <c r="B119" i="30"/>
  <c r="F119" i="30"/>
  <c r="H120" i="27"/>
  <c r="I120" i="27"/>
  <c r="B125" i="3"/>
  <c r="F125" i="3"/>
  <c r="B124" i="22"/>
  <c r="F124" i="22"/>
  <c r="H123" i="25"/>
  <c r="I123" i="25"/>
  <c r="B117" i="37"/>
  <c r="F117" i="37"/>
  <c r="H123" i="22"/>
  <c r="I123" i="22"/>
  <c r="H127" i="7"/>
  <c r="I127" i="7"/>
  <c r="B123" i="23"/>
  <c r="F123" i="23"/>
  <c r="H127" i="10"/>
  <c r="I127" i="10"/>
  <c r="B116" i="40"/>
  <c r="F116" i="40"/>
  <c r="I125" i="6"/>
  <c r="H125" i="6"/>
  <c r="B127" i="9"/>
  <c r="F127" i="9"/>
  <c r="I124" i="5"/>
  <c r="H124" i="5"/>
  <c r="B117" i="43"/>
  <c r="F117" i="43"/>
  <c r="I118" i="30"/>
  <c r="H118" i="30"/>
  <c r="B120" i="28"/>
  <c r="F120" i="28"/>
  <c r="H124" i="3"/>
  <c r="I124" i="3"/>
  <c r="B125" i="4"/>
  <c r="F125" i="4"/>
  <c r="H122" i="23"/>
  <c r="I122" i="23"/>
  <c r="B120" i="31"/>
  <c r="F120" i="31"/>
  <c r="I115" i="40"/>
  <c r="H115" i="40"/>
  <c r="B122" i="24"/>
  <c r="F122" i="24"/>
  <c r="H126" i="9"/>
  <c r="I126" i="9"/>
  <c r="B127" i="11"/>
  <c r="F127" i="11"/>
  <c r="H116" i="43"/>
  <c r="I116" i="43"/>
  <c r="B117" i="39"/>
  <c r="F117" i="39"/>
  <c r="H119" i="28"/>
  <c r="I119" i="28"/>
  <c r="G118" i="46" l="1"/>
  <c r="D119" i="46"/>
  <c r="E119" i="46"/>
  <c r="J117" i="46"/>
  <c r="I117" i="47"/>
  <c r="H117" i="47"/>
  <c r="F118" i="47"/>
  <c r="B118" i="47"/>
  <c r="F119" i="38"/>
  <c r="G119" i="38" s="1"/>
  <c r="I117" i="45"/>
  <c r="H117" i="45"/>
  <c r="F118" i="45"/>
  <c r="B118" i="45"/>
  <c r="I119" i="44"/>
  <c r="J119" i="44" s="1"/>
  <c r="I118" i="38"/>
  <c r="J118" i="38" s="1"/>
  <c r="D120" i="38"/>
  <c r="B120" i="38" s="1"/>
  <c r="E121" i="44"/>
  <c r="F121" i="44" s="1"/>
  <c r="G121" i="44" s="1"/>
  <c r="G120" i="44"/>
  <c r="I120" i="44" s="1"/>
  <c r="F119" i="42"/>
  <c r="G119" i="42" s="1"/>
  <c r="E120" i="38"/>
  <c r="E119" i="41"/>
  <c r="F119" i="41" s="1"/>
  <c r="B119" i="41"/>
  <c r="H119" i="38"/>
  <c r="I119" i="38"/>
  <c r="H118" i="41"/>
  <c r="I118" i="41"/>
  <c r="H118" i="42"/>
  <c r="I118" i="42"/>
  <c r="J119" i="28"/>
  <c r="J120" i="27"/>
  <c r="J115" i="40"/>
  <c r="J118" i="30"/>
  <c r="J124" i="5"/>
  <c r="J125" i="6"/>
  <c r="J124" i="4"/>
  <c r="J116" i="37"/>
  <c r="J116" i="43"/>
  <c r="J126" i="9"/>
  <c r="J122" i="23"/>
  <c r="J124" i="3"/>
  <c r="J127" i="10"/>
  <c r="J127" i="7"/>
  <c r="G117" i="37"/>
  <c r="D118" i="37"/>
  <c r="E118" i="37"/>
  <c r="G124" i="22"/>
  <c r="D125" i="22"/>
  <c r="E125" i="22" s="1"/>
  <c r="J119" i="29"/>
  <c r="J125" i="8"/>
  <c r="G128" i="10"/>
  <c r="D129" i="10"/>
  <c r="E129" i="10" s="1"/>
  <c r="J116" i="39"/>
  <c r="J126" i="11"/>
  <c r="J121" i="24"/>
  <c r="J119" i="31"/>
  <c r="G124" i="25"/>
  <c r="D125" i="25"/>
  <c r="E125" i="25"/>
  <c r="G117" i="39"/>
  <c r="D118" i="39"/>
  <c r="E118" i="39"/>
  <c r="D128" i="11"/>
  <c r="E128" i="11" s="1"/>
  <c r="G127" i="11"/>
  <c r="G122" i="24"/>
  <c r="D123" i="24"/>
  <c r="E123" i="24"/>
  <c r="G120" i="31"/>
  <c r="D121" i="31"/>
  <c r="E121" i="31"/>
  <c r="G125" i="4"/>
  <c r="D126" i="4"/>
  <c r="E126" i="4"/>
  <c r="G120" i="28"/>
  <c r="D121" i="28"/>
  <c r="E121" i="28"/>
  <c r="G117" i="43"/>
  <c r="D118" i="43"/>
  <c r="E118" i="43"/>
  <c r="G127" i="9"/>
  <c r="D128" i="9"/>
  <c r="E128" i="9" s="1"/>
  <c r="G116" i="40"/>
  <c r="D117" i="40"/>
  <c r="E117" i="40"/>
  <c r="G123" i="23"/>
  <c r="D124" i="23"/>
  <c r="E124" i="23"/>
  <c r="J123" i="22"/>
  <c r="J123" i="25"/>
  <c r="G125" i="3"/>
  <c r="D126" i="3"/>
  <c r="E126" i="3"/>
  <c r="G119" i="30"/>
  <c r="D120" i="30"/>
  <c r="E120" i="30"/>
  <c r="G125" i="5"/>
  <c r="D126" i="5"/>
  <c r="E126" i="5" s="1"/>
  <c r="G126" i="6"/>
  <c r="D127" i="6"/>
  <c r="E127" i="6" s="1"/>
  <c r="G128" i="7"/>
  <c r="D129" i="7"/>
  <c r="E129" i="7" s="1"/>
  <c r="G121" i="27"/>
  <c r="D122" i="27"/>
  <c r="E122" i="27"/>
  <c r="G120" i="29"/>
  <c r="D121" i="29"/>
  <c r="E121" i="29"/>
  <c r="G126" i="8"/>
  <c r="D127" i="8"/>
  <c r="E127" i="8" s="1"/>
  <c r="D119" i="47" l="1"/>
  <c r="G118" i="47"/>
  <c r="E119" i="47"/>
  <c r="F119" i="46"/>
  <c r="B119" i="46"/>
  <c r="J117" i="47"/>
  <c r="H118" i="46"/>
  <c r="I118" i="46"/>
  <c r="G118" i="45"/>
  <c r="D119" i="45"/>
  <c r="B119" i="45" s="1"/>
  <c r="E119" i="45"/>
  <c r="J117" i="45"/>
  <c r="F120" i="38"/>
  <c r="E121" i="38" s="1"/>
  <c r="J118" i="41"/>
  <c r="J119" i="38"/>
  <c r="D122" i="44"/>
  <c r="B122" i="44" s="1"/>
  <c r="H120" i="44"/>
  <c r="J120" i="44" s="1"/>
  <c r="D120" i="42"/>
  <c r="B120" i="42" s="1"/>
  <c r="H121" i="44"/>
  <c r="I121" i="44"/>
  <c r="J118" i="42"/>
  <c r="D120" i="41"/>
  <c r="G119" i="41"/>
  <c r="H119" i="42"/>
  <c r="I119" i="42"/>
  <c r="E120" i="42"/>
  <c r="B127" i="8"/>
  <c r="F127" i="8"/>
  <c r="H126" i="8"/>
  <c r="I126" i="8"/>
  <c r="B129" i="7"/>
  <c r="F129" i="7"/>
  <c r="H126" i="6"/>
  <c r="I126" i="6"/>
  <c r="B126" i="3"/>
  <c r="F126" i="3"/>
  <c r="B117" i="40"/>
  <c r="F117" i="40"/>
  <c r="H127" i="9"/>
  <c r="I127" i="9"/>
  <c r="B126" i="4"/>
  <c r="F126" i="4"/>
  <c r="H120" i="31"/>
  <c r="I120" i="31"/>
  <c r="B118" i="39"/>
  <c r="F118" i="39"/>
  <c r="H124" i="25"/>
  <c r="I124" i="25"/>
  <c r="I124" i="22"/>
  <c r="H124" i="22"/>
  <c r="B121" i="29"/>
  <c r="F121" i="29"/>
  <c r="B122" i="27"/>
  <c r="F122" i="27"/>
  <c r="H128" i="7"/>
  <c r="I128" i="7"/>
  <c r="B120" i="30"/>
  <c r="F120" i="30"/>
  <c r="H125" i="3"/>
  <c r="I125" i="3"/>
  <c r="B124" i="23"/>
  <c r="F124" i="23"/>
  <c r="H116" i="40"/>
  <c r="I116" i="40"/>
  <c r="B121" i="28"/>
  <c r="F121" i="28"/>
  <c r="I125" i="4"/>
  <c r="H125" i="4"/>
  <c r="H127" i="11"/>
  <c r="I127" i="11"/>
  <c r="H117" i="39"/>
  <c r="I117" i="39"/>
  <c r="I121" i="27"/>
  <c r="H121" i="27"/>
  <c r="B126" i="5"/>
  <c r="F126" i="5"/>
  <c r="H119" i="30"/>
  <c r="I119" i="30"/>
  <c r="H123" i="23"/>
  <c r="I123" i="23"/>
  <c r="B118" i="43"/>
  <c r="F118" i="43"/>
  <c r="H120" i="28"/>
  <c r="I120" i="28"/>
  <c r="B123" i="24"/>
  <c r="F123" i="24"/>
  <c r="B128" i="11"/>
  <c r="F128" i="11"/>
  <c r="B129" i="10"/>
  <c r="F129" i="10"/>
  <c r="B118" i="37"/>
  <c r="F118" i="37"/>
  <c r="H120" i="29"/>
  <c r="I120" i="29"/>
  <c r="B127" i="6"/>
  <c r="F127" i="6"/>
  <c r="H125" i="5"/>
  <c r="I125" i="5"/>
  <c r="B128" i="9"/>
  <c r="F128" i="9"/>
  <c r="H117" i="43"/>
  <c r="I117" i="43"/>
  <c r="B121" i="31"/>
  <c r="F121" i="31"/>
  <c r="H122" i="24"/>
  <c r="I122" i="24"/>
  <c r="B125" i="25"/>
  <c r="F125" i="25"/>
  <c r="H128" i="10"/>
  <c r="I128" i="10"/>
  <c r="B125" i="22"/>
  <c r="F125" i="22"/>
  <c r="H117" i="37"/>
  <c r="I117" i="37"/>
  <c r="J118" i="46" l="1"/>
  <c r="G119" i="46"/>
  <c r="E120" i="46"/>
  <c r="D120" i="46"/>
  <c r="H118" i="47"/>
  <c r="I118" i="47"/>
  <c r="B119" i="47"/>
  <c r="F119" i="47"/>
  <c r="D121" i="38"/>
  <c r="B121" i="38" s="1"/>
  <c r="G120" i="38"/>
  <c r="F119" i="45"/>
  <c r="G119" i="45" s="1"/>
  <c r="I118" i="45"/>
  <c r="H118" i="45"/>
  <c r="E122" i="44"/>
  <c r="F122" i="44" s="1"/>
  <c r="D123" i="44" s="1"/>
  <c r="B123" i="44" s="1"/>
  <c r="F120" i="42"/>
  <c r="G120" i="42" s="1"/>
  <c r="J121" i="44"/>
  <c r="J119" i="42"/>
  <c r="H120" i="38"/>
  <c r="I120" i="38"/>
  <c r="I119" i="41"/>
  <c r="H119" i="41"/>
  <c r="E120" i="41"/>
  <c r="F120" i="41" s="1"/>
  <c r="B120" i="41"/>
  <c r="J125" i="4"/>
  <c r="J121" i="27"/>
  <c r="J124" i="22"/>
  <c r="J117" i="37"/>
  <c r="J128" i="10"/>
  <c r="J122" i="24"/>
  <c r="J117" i="43"/>
  <c r="J125" i="5"/>
  <c r="J120" i="29"/>
  <c r="G129" i="10"/>
  <c r="D130" i="10"/>
  <c r="E130" i="10" s="1"/>
  <c r="G123" i="24"/>
  <c r="D124" i="24"/>
  <c r="E124" i="24" s="1"/>
  <c r="G118" i="43"/>
  <c r="D119" i="43"/>
  <c r="E119" i="43"/>
  <c r="J119" i="30"/>
  <c r="J127" i="11"/>
  <c r="G121" i="28"/>
  <c r="D122" i="28"/>
  <c r="E122" i="28"/>
  <c r="G124" i="23"/>
  <c r="D125" i="23"/>
  <c r="E125" i="23" s="1"/>
  <c r="G120" i="30"/>
  <c r="D121" i="30"/>
  <c r="E121" i="30"/>
  <c r="G122" i="27"/>
  <c r="D123" i="27"/>
  <c r="E123" i="27" s="1"/>
  <c r="G118" i="39"/>
  <c r="D119" i="39"/>
  <c r="E119" i="39"/>
  <c r="G126" i="4"/>
  <c r="D127" i="4"/>
  <c r="E127" i="4" s="1"/>
  <c r="G117" i="40"/>
  <c r="D118" i="40"/>
  <c r="E118" i="40"/>
  <c r="J126" i="6"/>
  <c r="J126" i="8"/>
  <c r="G125" i="22"/>
  <c r="D126" i="22"/>
  <c r="E126" i="22" s="1"/>
  <c r="G125" i="25"/>
  <c r="D126" i="25"/>
  <c r="E126" i="25"/>
  <c r="G121" i="31"/>
  <c r="D122" i="31"/>
  <c r="E122" i="31"/>
  <c r="G128" i="9"/>
  <c r="D129" i="9"/>
  <c r="E129" i="9" s="1"/>
  <c r="G127" i="6"/>
  <c r="D128" i="6"/>
  <c r="E128" i="6"/>
  <c r="G118" i="37"/>
  <c r="D119" i="37"/>
  <c r="E119" i="37"/>
  <c r="G128" i="11"/>
  <c r="D129" i="11"/>
  <c r="E129" i="11" s="1"/>
  <c r="J120" i="28"/>
  <c r="J123" i="23"/>
  <c r="G126" i="5"/>
  <c r="D127" i="5"/>
  <c r="E127" i="5"/>
  <c r="J117" i="39"/>
  <c r="J116" i="40"/>
  <c r="J125" i="3"/>
  <c r="J128" i="7"/>
  <c r="G121" i="29"/>
  <c r="D122" i="29"/>
  <c r="E122" i="29"/>
  <c r="J124" i="25"/>
  <c r="J120" i="31"/>
  <c r="J127" i="9"/>
  <c r="G126" i="3"/>
  <c r="D127" i="3"/>
  <c r="E127" i="3"/>
  <c r="G129" i="7"/>
  <c r="D130" i="7"/>
  <c r="E130" i="7"/>
  <c r="G127" i="8"/>
  <c r="D128" i="8"/>
  <c r="E128" i="8" s="1"/>
  <c r="D120" i="47" l="1"/>
  <c r="G119" i="47"/>
  <c r="E120" i="47"/>
  <c r="B120" i="46"/>
  <c r="F120" i="46"/>
  <c r="F121" i="38"/>
  <c r="D122" i="38" s="1"/>
  <c r="J118" i="47"/>
  <c r="H119" i="46"/>
  <c r="I119" i="46"/>
  <c r="D120" i="45"/>
  <c r="B120" i="45" s="1"/>
  <c r="J118" i="45"/>
  <c r="E120" i="45"/>
  <c r="I119" i="45"/>
  <c r="H119" i="45"/>
  <c r="D121" i="42"/>
  <c r="B121" i="42" s="1"/>
  <c r="E123" i="44"/>
  <c r="F123" i="44" s="1"/>
  <c r="D124" i="44" s="1"/>
  <c r="B124" i="44" s="1"/>
  <c r="G122" i="44"/>
  <c r="H122" i="44" s="1"/>
  <c r="J120" i="38"/>
  <c r="D121" i="41"/>
  <c r="B121" i="41" s="1"/>
  <c r="G120" i="41"/>
  <c r="E121" i="42"/>
  <c r="J119" i="41"/>
  <c r="I120" i="42"/>
  <c r="H120" i="42"/>
  <c r="B128" i="8"/>
  <c r="F128" i="8"/>
  <c r="H129" i="7"/>
  <c r="I129" i="7"/>
  <c r="B122" i="29"/>
  <c r="F122" i="29"/>
  <c r="I126" i="5"/>
  <c r="H126" i="5"/>
  <c r="B129" i="11"/>
  <c r="F129" i="11"/>
  <c r="H118" i="37"/>
  <c r="I118" i="37"/>
  <c r="B122" i="31"/>
  <c r="F122" i="31"/>
  <c r="H125" i="25"/>
  <c r="I125" i="25"/>
  <c r="H117" i="40"/>
  <c r="I117" i="40"/>
  <c r="B123" i="27"/>
  <c r="F123" i="27"/>
  <c r="H120" i="30"/>
  <c r="I120" i="30"/>
  <c r="B130" i="10"/>
  <c r="F130" i="10"/>
  <c r="I127" i="8"/>
  <c r="H127" i="8"/>
  <c r="I121" i="29"/>
  <c r="H121" i="29"/>
  <c r="H128" i="11"/>
  <c r="I128" i="11"/>
  <c r="B129" i="9"/>
  <c r="F129" i="9"/>
  <c r="H121" i="31"/>
  <c r="I121" i="31"/>
  <c r="B119" i="39"/>
  <c r="F119" i="39"/>
  <c r="H122" i="27"/>
  <c r="I122" i="27"/>
  <c r="B122" i="28"/>
  <c r="F122" i="28"/>
  <c r="B124" i="24"/>
  <c r="F124" i="24"/>
  <c r="H129" i="10"/>
  <c r="I129" i="10"/>
  <c r="B127" i="3"/>
  <c r="F127" i="3"/>
  <c r="B128" i="6"/>
  <c r="F128" i="6"/>
  <c r="H128" i="9"/>
  <c r="I128" i="9"/>
  <c r="B126" i="22"/>
  <c r="F126" i="22"/>
  <c r="B127" i="4"/>
  <c r="F127" i="4"/>
  <c r="H118" i="39"/>
  <c r="I118" i="39"/>
  <c r="B125" i="23"/>
  <c r="F125" i="23"/>
  <c r="I121" i="28"/>
  <c r="H121" i="28"/>
  <c r="B119" i="43"/>
  <c r="F119" i="43"/>
  <c r="H123" i="24"/>
  <c r="I123" i="24"/>
  <c r="B130" i="7"/>
  <c r="F130" i="7"/>
  <c r="H126" i="3"/>
  <c r="I126" i="3"/>
  <c r="B127" i="5"/>
  <c r="F127" i="5"/>
  <c r="B119" i="37"/>
  <c r="F119" i="37"/>
  <c r="I127" i="6"/>
  <c r="H127" i="6"/>
  <c r="B126" i="25"/>
  <c r="F126" i="25"/>
  <c r="I125" i="22"/>
  <c r="H125" i="22"/>
  <c r="B118" i="40"/>
  <c r="F118" i="40"/>
  <c r="H126" i="4"/>
  <c r="I126" i="4"/>
  <c r="B121" i="30"/>
  <c r="F121" i="30"/>
  <c r="H124" i="23"/>
  <c r="I124" i="23"/>
  <c r="H118" i="43"/>
  <c r="I118" i="43"/>
  <c r="F121" i="42" l="1"/>
  <c r="G121" i="38"/>
  <c r="H119" i="47"/>
  <c r="I119" i="47"/>
  <c r="J119" i="46"/>
  <c r="E121" i="46"/>
  <c r="D121" i="46"/>
  <c r="G120" i="46"/>
  <c r="F120" i="47"/>
  <c r="B120" i="47"/>
  <c r="F120" i="45"/>
  <c r="E121" i="45" s="1"/>
  <c r="J119" i="45"/>
  <c r="G123" i="44"/>
  <c r="I123" i="44" s="1"/>
  <c r="I122" i="44"/>
  <c r="J122" i="44" s="1"/>
  <c r="E124" i="44"/>
  <c r="F124" i="44" s="1"/>
  <c r="E121" i="41"/>
  <c r="F121" i="41" s="1"/>
  <c r="D122" i="42"/>
  <c r="B122" i="42" s="1"/>
  <c r="G121" i="42"/>
  <c r="E122" i="42"/>
  <c r="J120" i="42"/>
  <c r="I121" i="38"/>
  <c r="H121" i="38"/>
  <c r="E122" i="38"/>
  <c r="F122" i="38" s="1"/>
  <c r="B122" i="38"/>
  <c r="H120" i="41"/>
  <c r="I120" i="41"/>
  <c r="J125" i="22"/>
  <c r="J125" i="25"/>
  <c r="J118" i="37"/>
  <c r="J129" i="7"/>
  <c r="J127" i="6"/>
  <c r="J127" i="8"/>
  <c r="J121" i="28"/>
  <c r="J121" i="29"/>
  <c r="J124" i="23"/>
  <c r="J128" i="9"/>
  <c r="J122" i="27"/>
  <c r="J121" i="31"/>
  <c r="J118" i="43"/>
  <c r="G121" i="30"/>
  <c r="D122" i="30"/>
  <c r="E122" i="30"/>
  <c r="G118" i="40"/>
  <c r="D119" i="40"/>
  <c r="E119" i="40"/>
  <c r="G126" i="25"/>
  <c r="D127" i="25"/>
  <c r="E127" i="25" s="1"/>
  <c r="G119" i="37"/>
  <c r="D120" i="37"/>
  <c r="E120" i="37"/>
  <c r="J126" i="3"/>
  <c r="J123" i="24"/>
  <c r="J118" i="39"/>
  <c r="G126" i="22"/>
  <c r="D127" i="22"/>
  <c r="E127" i="22" s="1"/>
  <c r="G128" i="6"/>
  <c r="D129" i="6"/>
  <c r="E129" i="6" s="1"/>
  <c r="J129" i="10"/>
  <c r="G122" i="28"/>
  <c r="D123" i="28"/>
  <c r="E123" i="28" s="1"/>
  <c r="G119" i="39"/>
  <c r="D120" i="39"/>
  <c r="E120" i="39"/>
  <c r="G129" i="9"/>
  <c r="D130" i="9"/>
  <c r="E130" i="9"/>
  <c r="G130" i="10"/>
  <c r="D131" i="10"/>
  <c r="E131" i="10" s="1"/>
  <c r="G123" i="27"/>
  <c r="D124" i="27"/>
  <c r="E124" i="27" s="1"/>
  <c r="J126" i="5"/>
  <c r="J126" i="4"/>
  <c r="G127" i="5"/>
  <c r="D128" i="5"/>
  <c r="E128" i="5" s="1"/>
  <c r="G130" i="7"/>
  <c r="D131" i="7"/>
  <c r="E131" i="7" s="1"/>
  <c r="G119" i="43"/>
  <c r="D120" i="43"/>
  <c r="E120" i="43"/>
  <c r="G125" i="23"/>
  <c r="D126" i="23"/>
  <c r="E126" i="23"/>
  <c r="G127" i="4"/>
  <c r="D128" i="4"/>
  <c r="E128" i="4" s="1"/>
  <c r="G127" i="3"/>
  <c r="D128" i="3"/>
  <c r="E128" i="3" s="1"/>
  <c r="G124" i="24"/>
  <c r="D125" i="24"/>
  <c r="E125" i="24"/>
  <c r="J128" i="11"/>
  <c r="J120" i="30"/>
  <c r="J117" i="40"/>
  <c r="G122" i="31"/>
  <c r="D123" i="31"/>
  <c r="E123" i="31" s="1"/>
  <c r="G129" i="11"/>
  <c r="D130" i="11"/>
  <c r="E130" i="11" s="1"/>
  <c r="G122" i="29"/>
  <c r="D123" i="29"/>
  <c r="E123" i="29"/>
  <c r="G128" i="8"/>
  <c r="D129" i="8"/>
  <c r="E129" i="8"/>
  <c r="J119" i="47" l="1"/>
  <c r="G120" i="47"/>
  <c r="D121" i="47"/>
  <c r="E121" i="47" s="1"/>
  <c r="I120" i="46"/>
  <c r="H120" i="46"/>
  <c r="B121" i="46"/>
  <c r="F121" i="46"/>
  <c r="G120" i="45"/>
  <c r="H120" i="45" s="1"/>
  <c r="D121" i="45"/>
  <c r="F121" i="45" s="1"/>
  <c r="H123" i="44"/>
  <c r="J123" i="44" s="1"/>
  <c r="G124" i="44"/>
  <c r="H124" i="44" s="1"/>
  <c r="D125" i="44"/>
  <c r="B125" i="44" s="1"/>
  <c r="E125" i="44"/>
  <c r="J120" i="41"/>
  <c r="F122" i="42"/>
  <c r="G122" i="42" s="1"/>
  <c r="J121" i="38"/>
  <c r="G122" i="38"/>
  <c r="D123" i="38"/>
  <c r="G121" i="41"/>
  <c r="D122" i="41"/>
  <c r="H121" i="42"/>
  <c r="I121" i="42"/>
  <c r="B130" i="11"/>
  <c r="F130" i="11"/>
  <c r="B123" i="29"/>
  <c r="F123" i="29"/>
  <c r="H129" i="11"/>
  <c r="I129" i="11"/>
  <c r="B125" i="24"/>
  <c r="F125" i="24"/>
  <c r="I127" i="3"/>
  <c r="H127" i="3"/>
  <c r="B120" i="43"/>
  <c r="F120" i="43"/>
  <c r="H130" i="7"/>
  <c r="I130" i="7"/>
  <c r="H123" i="27"/>
  <c r="I123" i="27"/>
  <c r="B120" i="39"/>
  <c r="F120" i="39"/>
  <c r="H122" i="28"/>
  <c r="I122" i="28"/>
  <c r="H128" i="6"/>
  <c r="I128" i="6"/>
  <c r="B120" i="37"/>
  <c r="F120" i="37"/>
  <c r="H126" i="25"/>
  <c r="I126" i="25"/>
  <c r="B129" i="8"/>
  <c r="F129" i="8"/>
  <c r="H122" i="29"/>
  <c r="I122" i="29"/>
  <c r="H124" i="24"/>
  <c r="I124" i="24"/>
  <c r="B126" i="23"/>
  <c r="F126" i="23"/>
  <c r="H119" i="43"/>
  <c r="I119" i="43"/>
  <c r="B130" i="9"/>
  <c r="F130" i="9"/>
  <c r="H119" i="39"/>
  <c r="I119" i="39"/>
  <c r="H119" i="37"/>
  <c r="I119" i="37"/>
  <c r="B122" i="30"/>
  <c r="F122" i="30"/>
  <c r="H128" i="8"/>
  <c r="I128" i="8"/>
  <c r="B128" i="4"/>
  <c r="F128" i="4"/>
  <c r="I125" i="23"/>
  <c r="H125" i="23"/>
  <c r="B128" i="5"/>
  <c r="F128" i="5"/>
  <c r="B131" i="10"/>
  <c r="F131" i="10"/>
  <c r="H129" i="9"/>
  <c r="I129" i="9"/>
  <c r="B127" i="22"/>
  <c r="F127" i="22"/>
  <c r="B119" i="40"/>
  <c r="F119" i="40"/>
  <c r="H121" i="30"/>
  <c r="I121" i="30"/>
  <c r="B123" i="31"/>
  <c r="F123" i="31"/>
  <c r="I122" i="31"/>
  <c r="H122" i="31"/>
  <c r="B128" i="3"/>
  <c r="F128" i="3"/>
  <c r="H127" i="4"/>
  <c r="I127" i="4"/>
  <c r="B131" i="7"/>
  <c r="F131" i="7"/>
  <c r="H127" i="5"/>
  <c r="I127" i="5"/>
  <c r="B124" i="27"/>
  <c r="F124" i="27"/>
  <c r="I130" i="10"/>
  <c r="H130" i="10"/>
  <c r="B123" i="28"/>
  <c r="F123" i="28"/>
  <c r="B129" i="6"/>
  <c r="F129" i="6"/>
  <c r="H126" i="22"/>
  <c r="I126" i="22"/>
  <c r="B127" i="25"/>
  <c r="F127" i="25"/>
  <c r="H118" i="40"/>
  <c r="I118" i="40"/>
  <c r="J120" i="46" l="1"/>
  <c r="I120" i="45"/>
  <c r="J120" i="45" s="1"/>
  <c r="E122" i="46"/>
  <c r="D122" i="46"/>
  <c r="G121" i="46"/>
  <c r="F121" i="47"/>
  <c r="B121" i="47"/>
  <c r="I120" i="47"/>
  <c r="H120" i="47"/>
  <c r="B121" i="45"/>
  <c r="I124" i="44"/>
  <c r="J124" i="44" s="1"/>
  <c r="F125" i="44"/>
  <c r="G125" i="44" s="1"/>
  <c r="G121" i="45"/>
  <c r="D122" i="45"/>
  <c r="D123" i="42"/>
  <c r="B123" i="42" s="1"/>
  <c r="J121" i="42"/>
  <c r="E122" i="41"/>
  <c r="F122" i="41" s="1"/>
  <c r="B122" i="41"/>
  <c r="I121" i="41"/>
  <c r="H121" i="41"/>
  <c r="E123" i="42"/>
  <c r="E123" i="38"/>
  <c r="F123" i="38" s="1"/>
  <c r="B123" i="38"/>
  <c r="H122" i="42"/>
  <c r="I122" i="42"/>
  <c r="I122" i="38"/>
  <c r="H122" i="38"/>
  <c r="J127" i="5"/>
  <c r="J122" i="29"/>
  <c r="J127" i="4"/>
  <c r="J121" i="30"/>
  <c r="J128" i="8"/>
  <c r="J119" i="37"/>
  <c r="J126" i="25"/>
  <c r="J127" i="3"/>
  <c r="G127" i="25"/>
  <c r="D128" i="25"/>
  <c r="E128" i="25" s="1"/>
  <c r="J118" i="40"/>
  <c r="J126" i="22"/>
  <c r="G123" i="28"/>
  <c r="D124" i="28"/>
  <c r="E124" i="28" s="1"/>
  <c r="G124" i="27"/>
  <c r="D125" i="27"/>
  <c r="E125" i="27" s="1"/>
  <c r="G131" i="7"/>
  <c r="D132" i="7"/>
  <c r="E132" i="7" s="1"/>
  <c r="G128" i="3"/>
  <c r="D129" i="3"/>
  <c r="E129" i="3"/>
  <c r="G123" i="31"/>
  <c r="D124" i="31"/>
  <c r="E124" i="31"/>
  <c r="G119" i="40"/>
  <c r="D120" i="40"/>
  <c r="E120" i="40"/>
  <c r="J129" i="9"/>
  <c r="G128" i="5"/>
  <c r="D129" i="5"/>
  <c r="E129" i="5" s="1"/>
  <c r="G128" i="4"/>
  <c r="D129" i="4"/>
  <c r="E129" i="4" s="1"/>
  <c r="G122" i="30"/>
  <c r="D123" i="30"/>
  <c r="E123" i="30" s="1"/>
  <c r="J119" i="39"/>
  <c r="J119" i="43"/>
  <c r="J124" i="24"/>
  <c r="G129" i="8"/>
  <c r="D130" i="8"/>
  <c r="E130" i="8" s="1"/>
  <c r="G120" i="37"/>
  <c r="D121" i="37"/>
  <c r="E121" i="37" s="1"/>
  <c r="J122" i="28"/>
  <c r="J123" i="27"/>
  <c r="G120" i="43"/>
  <c r="D121" i="43"/>
  <c r="E121" i="43" s="1"/>
  <c r="G125" i="24"/>
  <c r="D126" i="24"/>
  <c r="E126" i="24" s="1"/>
  <c r="G123" i="29"/>
  <c r="D124" i="29"/>
  <c r="E124" i="29" s="1"/>
  <c r="G129" i="6"/>
  <c r="D130" i="6"/>
  <c r="E130" i="6" s="1"/>
  <c r="G127" i="22"/>
  <c r="D128" i="22"/>
  <c r="E128" i="22" s="1"/>
  <c r="G131" i="10"/>
  <c r="D132" i="10"/>
  <c r="E132" i="10" s="1"/>
  <c r="G130" i="9"/>
  <c r="D131" i="9"/>
  <c r="E131" i="9"/>
  <c r="G126" i="23"/>
  <c r="D127" i="23"/>
  <c r="E127" i="23" s="1"/>
  <c r="J128" i="6"/>
  <c r="G120" i="39"/>
  <c r="D121" i="39"/>
  <c r="E121" i="39" s="1"/>
  <c r="J130" i="7"/>
  <c r="J129" i="11"/>
  <c r="G130" i="11"/>
  <c r="D131" i="11"/>
  <c r="E131" i="11" s="1"/>
  <c r="J130" i="10"/>
  <c r="J122" i="31"/>
  <c r="J125" i="23"/>
  <c r="G121" i="47" l="1"/>
  <c r="D122" i="47"/>
  <c r="E122" i="47" s="1"/>
  <c r="H121" i="46"/>
  <c r="I121" i="46"/>
  <c r="J120" i="47"/>
  <c r="B122" i="46"/>
  <c r="F122" i="46"/>
  <c r="D126" i="44"/>
  <c r="B126" i="44" s="1"/>
  <c r="F123" i="42"/>
  <c r="G123" i="42" s="1"/>
  <c r="E122" i="45"/>
  <c r="F122" i="45" s="1"/>
  <c r="B122" i="45"/>
  <c r="I121" i="45"/>
  <c r="H121" i="45"/>
  <c r="H125" i="44"/>
  <c r="I125" i="44"/>
  <c r="E126" i="44"/>
  <c r="J121" i="41"/>
  <c r="G123" i="38"/>
  <c r="D124" i="38"/>
  <c r="B124" i="38" s="1"/>
  <c r="E124" i="38"/>
  <c r="J122" i="38"/>
  <c r="D123" i="41"/>
  <c r="G122" i="41"/>
  <c r="J122" i="42"/>
  <c r="B131" i="11"/>
  <c r="F131" i="11"/>
  <c r="B131" i="9"/>
  <c r="F131" i="9"/>
  <c r="H131" i="10"/>
  <c r="I131" i="10"/>
  <c r="B124" i="29"/>
  <c r="F124" i="29"/>
  <c r="H125" i="24"/>
  <c r="I125" i="24"/>
  <c r="H120" i="37"/>
  <c r="I120" i="37"/>
  <c r="B123" i="30"/>
  <c r="F123" i="30"/>
  <c r="I128" i="4"/>
  <c r="H128" i="4"/>
  <c r="B129" i="3"/>
  <c r="F129" i="3"/>
  <c r="H131" i="7"/>
  <c r="I131" i="7"/>
  <c r="B121" i="39"/>
  <c r="F121" i="39"/>
  <c r="B127" i="23"/>
  <c r="F127" i="23"/>
  <c r="I130" i="9"/>
  <c r="H130" i="9"/>
  <c r="B130" i="6"/>
  <c r="F130" i="6"/>
  <c r="I123" i="29"/>
  <c r="H123" i="29"/>
  <c r="H122" i="30"/>
  <c r="I122" i="30"/>
  <c r="B124" i="31"/>
  <c r="F124" i="31"/>
  <c r="I128" i="3"/>
  <c r="H128" i="3"/>
  <c r="B124" i="28"/>
  <c r="F124" i="28"/>
  <c r="H126" i="23"/>
  <c r="I126" i="23"/>
  <c r="B128" i="22"/>
  <c r="F128" i="22"/>
  <c r="H129" i="6"/>
  <c r="I129" i="6"/>
  <c r="B121" i="43"/>
  <c r="F121" i="43"/>
  <c r="B130" i="8"/>
  <c r="F130" i="8"/>
  <c r="B129" i="5"/>
  <c r="F129" i="5"/>
  <c r="B120" i="40"/>
  <c r="F120" i="40"/>
  <c r="H123" i="31"/>
  <c r="I123" i="31"/>
  <c r="B125" i="27"/>
  <c r="F125" i="27"/>
  <c r="H123" i="28"/>
  <c r="I123" i="28"/>
  <c r="B128" i="25"/>
  <c r="F128" i="25"/>
  <c r="H130" i="11"/>
  <c r="I130" i="11"/>
  <c r="H120" i="39"/>
  <c r="I120" i="39"/>
  <c r="B132" i="10"/>
  <c r="F132" i="10"/>
  <c r="I127" i="22"/>
  <c r="H127" i="22"/>
  <c r="B126" i="24"/>
  <c r="F126" i="24"/>
  <c r="H120" i="43"/>
  <c r="I120" i="43"/>
  <c r="B121" i="37"/>
  <c r="F121" i="37"/>
  <c r="I129" i="8"/>
  <c r="H129" i="8"/>
  <c r="B129" i="4"/>
  <c r="F129" i="4"/>
  <c r="H128" i="5"/>
  <c r="I128" i="5"/>
  <c r="H119" i="40"/>
  <c r="I119" i="40"/>
  <c r="B132" i="7"/>
  <c r="F132" i="7"/>
  <c r="H124" i="27"/>
  <c r="I124" i="27"/>
  <c r="H127" i="25"/>
  <c r="I127" i="25"/>
  <c r="D123" i="46" l="1"/>
  <c r="E123" i="46"/>
  <c r="G122" i="46"/>
  <c r="F122" i="47"/>
  <c r="B122" i="47"/>
  <c r="F126" i="44"/>
  <c r="D127" i="44" s="1"/>
  <c r="J121" i="46"/>
  <c r="H121" i="47"/>
  <c r="I121" i="47"/>
  <c r="D124" i="42"/>
  <c r="B124" i="42" s="1"/>
  <c r="J121" i="45"/>
  <c r="G122" i="45"/>
  <c r="D123" i="45"/>
  <c r="B123" i="45" s="1"/>
  <c r="E123" i="45"/>
  <c r="J125" i="44"/>
  <c r="G126" i="44"/>
  <c r="F124" i="38"/>
  <c r="G124" i="38" s="1"/>
  <c r="H122" i="41"/>
  <c r="I122" i="41"/>
  <c r="I123" i="42"/>
  <c r="H123" i="42"/>
  <c r="E123" i="41"/>
  <c r="F123" i="41" s="1"/>
  <c r="B123" i="41"/>
  <c r="E124" i="42"/>
  <c r="I123" i="38"/>
  <c r="H123" i="38"/>
  <c r="J123" i="29"/>
  <c r="J130" i="9"/>
  <c r="J155" i="9" s="1"/>
  <c r="J128" i="3"/>
  <c r="J128" i="4"/>
  <c r="J129" i="8"/>
  <c r="J127" i="22"/>
  <c r="J127" i="25"/>
  <c r="J129" i="6"/>
  <c r="G132" i="7"/>
  <c r="D133" i="7"/>
  <c r="E133" i="7" s="1"/>
  <c r="J128" i="5"/>
  <c r="J120" i="43"/>
  <c r="J120" i="39"/>
  <c r="G128" i="25"/>
  <c r="D129" i="25"/>
  <c r="E129" i="25"/>
  <c r="G125" i="27"/>
  <c r="D126" i="27"/>
  <c r="E126" i="27" s="1"/>
  <c r="G120" i="40"/>
  <c r="D121" i="40"/>
  <c r="E121" i="40" s="1"/>
  <c r="G130" i="8"/>
  <c r="D131" i="8"/>
  <c r="E131" i="8"/>
  <c r="J126" i="23"/>
  <c r="J122" i="30"/>
  <c r="G130" i="6"/>
  <c r="D131" i="6"/>
  <c r="E131" i="6" s="1"/>
  <c r="G127" i="23"/>
  <c r="D128" i="23"/>
  <c r="E128" i="23" s="1"/>
  <c r="J131" i="7"/>
  <c r="J120" i="37"/>
  <c r="G124" i="29"/>
  <c r="D125" i="29"/>
  <c r="E125" i="29" s="1"/>
  <c r="G131" i="9"/>
  <c r="D132" i="9"/>
  <c r="E132" i="9"/>
  <c r="J124" i="27"/>
  <c r="J119" i="40"/>
  <c r="G129" i="4"/>
  <c r="D130" i="4"/>
  <c r="E130" i="4" s="1"/>
  <c r="G121" i="37"/>
  <c r="D122" i="37"/>
  <c r="E122" i="37"/>
  <c r="G126" i="24"/>
  <c r="D127" i="24"/>
  <c r="E127" i="24"/>
  <c r="G132" i="10"/>
  <c r="D133" i="10"/>
  <c r="E133" i="10" s="1"/>
  <c r="J130" i="11"/>
  <c r="J155" i="11" s="1"/>
  <c r="J123" i="28"/>
  <c r="J123" i="31"/>
  <c r="G129" i="5"/>
  <c r="D130" i="5"/>
  <c r="E130" i="5" s="1"/>
  <c r="G121" i="43"/>
  <c r="D122" i="43"/>
  <c r="E122" i="43" s="1"/>
  <c r="G128" i="22"/>
  <c r="D129" i="22"/>
  <c r="E129" i="22" s="1"/>
  <c r="G124" i="28"/>
  <c r="D125" i="28"/>
  <c r="E125" i="28" s="1"/>
  <c r="G124" i="31"/>
  <c r="D125" i="31"/>
  <c r="E125" i="31"/>
  <c r="G121" i="39"/>
  <c r="D122" i="39"/>
  <c r="E122" i="39"/>
  <c r="G129" i="3"/>
  <c r="D130" i="3"/>
  <c r="E130" i="3" s="1"/>
  <c r="G123" i="30"/>
  <c r="D124" i="30"/>
  <c r="E124" i="30" s="1"/>
  <c r="J125" i="24"/>
  <c r="J131" i="10"/>
  <c r="G131" i="11"/>
  <c r="D132" i="11"/>
  <c r="E132" i="11" s="1"/>
  <c r="F124" i="42" l="1"/>
  <c r="G122" i="47"/>
  <c r="D123" i="47"/>
  <c r="E123" i="47" s="1"/>
  <c r="H122" i="46"/>
  <c r="I122" i="46"/>
  <c r="J121" i="47"/>
  <c r="F123" i="46"/>
  <c r="B123" i="46"/>
  <c r="F123" i="45"/>
  <c r="G123" i="45" s="1"/>
  <c r="H122" i="45"/>
  <c r="I122" i="45"/>
  <c r="D125" i="38"/>
  <c r="B125" i="38" s="1"/>
  <c r="J122" i="41"/>
  <c r="H126" i="44"/>
  <c r="I126" i="44"/>
  <c r="E127" i="44"/>
  <c r="F127" i="44" s="1"/>
  <c r="B127" i="44"/>
  <c r="J123" i="42"/>
  <c r="D125" i="42"/>
  <c r="G124" i="42"/>
  <c r="E125" i="38"/>
  <c r="G123" i="41"/>
  <c r="D124" i="41"/>
  <c r="B124" i="41" s="1"/>
  <c r="J123" i="38"/>
  <c r="H124" i="38"/>
  <c r="I124" i="38"/>
  <c r="F130" i="5"/>
  <c r="B130" i="5"/>
  <c r="B122" i="39"/>
  <c r="F122" i="39"/>
  <c r="H124" i="31"/>
  <c r="I124" i="31"/>
  <c r="B122" i="43"/>
  <c r="F122" i="43"/>
  <c r="H129" i="5"/>
  <c r="I129" i="5"/>
  <c r="B127" i="24"/>
  <c r="F127" i="24"/>
  <c r="H121" i="37"/>
  <c r="I121" i="37"/>
  <c r="I131" i="9"/>
  <c r="H131" i="9"/>
  <c r="I127" i="23"/>
  <c r="H127" i="23"/>
  <c r="H130" i="8"/>
  <c r="I130" i="8"/>
  <c r="B129" i="25"/>
  <c r="F129" i="25"/>
  <c r="I131" i="11"/>
  <c r="H131" i="11"/>
  <c r="H123" i="30"/>
  <c r="I123" i="30"/>
  <c r="B132" i="11"/>
  <c r="F132" i="11"/>
  <c r="B130" i="3"/>
  <c r="F130" i="3"/>
  <c r="H121" i="39"/>
  <c r="I121" i="39"/>
  <c r="B129" i="22"/>
  <c r="F129" i="22"/>
  <c r="H121" i="43"/>
  <c r="I121" i="43"/>
  <c r="B133" i="10"/>
  <c r="F133" i="10"/>
  <c r="H126" i="24"/>
  <c r="I126" i="24"/>
  <c r="B126" i="27"/>
  <c r="F126" i="27"/>
  <c r="I128" i="25"/>
  <c r="H128" i="25"/>
  <c r="B124" i="30"/>
  <c r="F124" i="30"/>
  <c r="H129" i="3"/>
  <c r="I129" i="3"/>
  <c r="B125" i="28"/>
  <c r="F125" i="28"/>
  <c r="H128" i="22"/>
  <c r="I128" i="22"/>
  <c r="H132" i="10"/>
  <c r="I132" i="10"/>
  <c r="B130" i="4"/>
  <c r="F130" i="4"/>
  <c r="B125" i="29"/>
  <c r="F125" i="29"/>
  <c r="B131" i="6"/>
  <c r="F131" i="6"/>
  <c r="B121" i="40"/>
  <c r="F121" i="40"/>
  <c r="H125" i="27"/>
  <c r="I125" i="27"/>
  <c r="B133" i="7"/>
  <c r="F133" i="7"/>
  <c r="B125" i="31"/>
  <c r="F125" i="31"/>
  <c r="H124" i="28"/>
  <c r="I124" i="28"/>
  <c r="B122" i="37"/>
  <c r="F122" i="37"/>
  <c r="H129" i="4"/>
  <c r="I129" i="4"/>
  <c r="B132" i="9"/>
  <c r="F132" i="9"/>
  <c r="H124" i="29"/>
  <c r="I124" i="29"/>
  <c r="B128" i="23"/>
  <c r="F128" i="23"/>
  <c r="H130" i="6"/>
  <c r="I130" i="6"/>
  <c r="B131" i="8"/>
  <c r="F131" i="8"/>
  <c r="H120" i="40"/>
  <c r="I120" i="40"/>
  <c r="H132" i="7"/>
  <c r="I132" i="7"/>
  <c r="D124" i="46" l="1"/>
  <c r="G123" i="46"/>
  <c r="E124" i="46"/>
  <c r="B123" i="47"/>
  <c r="F123" i="47"/>
  <c r="J122" i="46"/>
  <c r="H122" i="47"/>
  <c r="I122" i="47"/>
  <c r="E124" i="45"/>
  <c r="D124" i="45"/>
  <c r="B124" i="45" s="1"/>
  <c r="F125" i="38"/>
  <c r="G125" i="38" s="1"/>
  <c r="J122" i="45"/>
  <c r="H123" i="45"/>
  <c r="I123" i="45"/>
  <c r="G127" i="44"/>
  <c r="D128" i="44"/>
  <c r="B128" i="44" s="1"/>
  <c r="E128" i="44"/>
  <c r="J126" i="44"/>
  <c r="J124" i="38"/>
  <c r="E124" i="41"/>
  <c r="F124" i="41" s="1"/>
  <c r="G124" i="41" s="1"/>
  <c r="H123" i="41"/>
  <c r="I123" i="41"/>
  <c r="I124" i="42"/>
  <c r="H124" i="42"/>
  <c r="E125" i="42"/>
  <c r="F125" i="42" s="1"/>
  <c r="B125" i="42"/>
  <c r="J121" i="37"/>
  <c r="J129" i="5"/>
  <c r="J124" i="31"/>
  <c r="J120" i="40"/>
  <c r="J123" i="30"/>
  <c r="J128" i="25"/>
  <c r="J132" i="7"/>
  <c r="G131" i="8"/>
  <c r="D132" i="8"/>
  <c r="E132" i="8"/>
  <c r="G128" i="23"/>
  <c r="D129" i="23"/>
  <c r="E129" i="23" s="1"/>
  <c r="G132" i="9"/>
  <c r="D133" i="9"/>
  <c r="E133" i="9" s="1"/>
  <c r="G122" i="37"/>
  <c r="D123" i="37"/>
  <c r="E123" i="37" s="1"/>
  <c r="G125" i="31"/>
  <c r="D126" i="31"/>
  <c r="E126" i="31"/>
  <c r="J125" i="27"/>
  <c r="G131" i="6"/>
  <c r="D132" i="6"/>
  <c r="E132" i="6"/>
  <c r="G130" i="4"/>
  <c r="D131" i="4"/>
  <c r="E131" i="4" s="1"/>
  <c r="J128" i="22"/>
  <c r="J129" i="3"/>
  <c r="J126" i="24"/>
  <c r="J121" i="43"/>
  <c r="J121" i="39"/>
  <c r="G132" i="11"/>
  <c r="D133" i="11"/>
  <c r="E133" i="11" s="1"/>
  <c r="J130" i="8"/>
  <c r="G127" i="24"/>
  <c r="D128" i="24"/>
  <c r="E128" i="24" s="1"/>
  <c r="G122" i="43"/>
  <c r="D123" i="43"/>
  <c r="E123" i="43"/>
  <c r="G122" i="39"/>
  <c r="D123" i="39"/>
  <c r="E123" i="39" s="1"/>
  <c r="J130" i="6"/>
  <c r="J124" i="29"/>
  <c r="J129" i="4"/>
  <c r="J124" i="28"/>
  <c r="G133" i="7"/>
  <c r="D134" i="7"/>
  <c r="E134" i="7"/>
  <c r="G121" i="40"/>
  <c r="D122" i="40"/>
  <c r="E122" i="40" s="1"/>
  <c r="G125" i="29"/>
  <c r="D126" i="29"/>
  <c r="E126" i="29" s="1"/>
  <c r="J132" i="10"/>
  <c r="G125" i="28"/>
  <c r="D126" i="28"/>
  <c r="E126" i="28" s="1"/>
  <c r="G124" i="30"/>
  <c r="D125" i="30"/>
  <c r="E125" i="30"/>
  <c r="G126" i="27"/>
  <c r="D127" i="27"/>
  <c r="E127" i="27"/>
  <c r="G133" i="10"/>
  <c r="D134" i="10"/>
  <c r="E134" i="10" s="1"/>
  <c r="G129" i="22"/>
  <c r="D130" i="22"/>
  <c r="E130" i="22" s="1"/>
  <c r="G130" i="3"/>
  <c r="D131" i="3"/>
  <c r="E131" i="3" s="1"/>
  <c r="G129" i="25"/>
  <c r="D130" i="25"/>
  <c r="E130" i="25" s="1"/>
  <c r="J127" i="23"/>
  <c r="G130" i="5"/>
  <c r="D131" i="5"/>
  <c r="E131" i="5" s="1"/>
  <c r="J122" i="47" l="1"/>
  <c r="H123" i="46"/>
  <c r="I123" i="46"/>
  <c r="J123" i="46" s="1"/>
  <c r="D124" i="47"/>
  <c r="E124" i="47" s="1"/>
  <c r="G123" i="47"/>
  <c r="B124" i="46"/>
  <c r="F124" i="46"/>
  <c r="D126" i="38"/>
  <c r="B126" i="38" s="1"/>
  <c r="F124" i="45"/>
  <c r="J123" i="45"/>
  <c r="F128" i="44"/>
  <c r="G128" i="44" s="1"/>
  <c r="I127" i="44"/>
  <c r="H127" i="44"/>
  <c r="D125" i="41"/>
  <c r="B125" i="41" s="1"/>
  <c r="J123" i="41"/>
  <c r="J124" i="42"/>
  <c r="H124" i="41"/>
  <c r="I124" i="41"/>
  <c r="G125" i="42"/>
  <c r="D126" i="42"/>
  <c r="I125" i="38"/>
  <c r="H125" i="38"/>
  <c r="E126" i="38"/>
  <c r="B131" i="5"/>
  <c r="F131" i="5"/>
  <c r="H130" i="3"/>
  <c r="I130" i="3"/>
  <c r="H130" i="5"/>
  <c r="I130" i="5"/>
  <c r="B131" i="3"/>
  <c r="F131" i="3"/>
  <c r="I129" i="22"/>
  <c r="H129" i="22"/>
  <c r="B125" i="30"/>
  <c r="F125" i="30"/>
  <c r="H125" i="28"/>
  <c r="I125" i="28"/>
  <c r="H125" i="29"/>
  <c r="I125" i="29"/>
  <c r="B123" i="39"/>
  <c r="F123" i="39"/>
  <c r="H122" i="43"/>
  <c r="I122" i="43"/>
  <c r="B123" i="37"/>
  <c r="F123" i="37"/>
  <c r="H132" i="9"/>
  <c r="I132" i="9"/>
  <c r="B130" i="25"/>
  <c r="F130" i="25"/>
  <c r="B127" i="27"/>
  <c r="F127" i="27"/>
  <c r="H124" i="30"/>
  <c r="I124" i="30"/>
  <c r="B134" i="7"/>
  <c r="F134" i="7"/>
  <c r="H122" i="39"/>
  <c r="I122" i="39"/>
  <c r="B132" i="6"/>
  <c r="F132" i="6"/>
  <c r="B126" i="31"/>
  <c r="F126" i="31"/>
  <c r="I122" i="37"/>
  <c r="H122" i="37"/>
  <c r="B132" i="8"/>
  <c r="F132" i="8"/>
  <c r="B134" i="10"/>
  <c r="F134" i="10"/>
  <c r="I126" i="27"/>
  <c r="H126" i="27"/>
  <c r="B122" i="40"/>
  <c r="F122" i="40"/>
  <c r="H133" i="7"/>
  <c r="I133" i="7"/>
  <c r="B128" i="24"/>
  <c r="F128" i="24"/>
  <c r="B133" i="11"/>
  <c r="F133" i="11"/>
  <c r="B131" i="4"/>
  <c r="F131" i="4"/>
  <c r="H131" i="6"/>
  <c r="I131" i="6"/>
  <c r="I125" i="31"/>
  <c r="H125" i="31"/>
  <c r="B129" i="23"/>
  <c r="F129" i="23"/>
  <c r="H131" i="8"/>
  <c r="I131" i="8"/>
  <c r="H129" i="25"/>
  <c r="I129" i="25"/>
  <c r="B130" i="22"/>
  <c r="F130" i="22"/>
  <c r="H133" i="10"/>
  <c r="I133" i="10"/>
  <c r="B126" i="28"/>
  <c r="F126" i="28"/>
  <c r="B126" i="29"/>
  <c r="F126" i="29"/>
  <c r="H121" i="40"/>
  <c r="I121" i="40"/>
  <c r="B123" i="43"/>
  <c r="F123" i="43"/>
  <c r="I127" i="24"/>
  <c r="H127" i="24"/>
  <c r="I132" i="11"/>
  <c r="H132" i="11"/>
  <c r="H130" i="4"/>
  <c r="I130" i="4"/>
  <c r="B133" i="9"/>
  <c r="F133" i="9"/>
  <c r="H128" i="23"/>
  <c r="I128" i="23"/>
  <c r="H123" i="47" l="1"/>
  <c r="I123" i="47"/>
  <c r="E125" i="46"/>
  <c r="D125" i="46"/>
  <c r="G124" i="46"/>
  <c r="F124" i="47"/>
  <c r="B124" i="47"/>
  <c r="F126" i="38"/>
  <c r="D127" i="38" s="1"/>
  <c r="D129" i="44"/>
  <c r="B129" i="44" s="1"/>
  <c r="E125" i="45"/>
  <c r="G124" i="45"/>
  <c r="D125" i="45"/>
  <c r="E125" i="41"/>
  <c r="F125" i="41" s="1"/>
  <c r="D126" i="41" s="1"/>
  <c r="J124" i="41"/>
  <c r="J127" i="44"/>
  <c r="E129" i="44"/>
  <c r="H128" i="44"/>
  <c r="I128" i="44"/>
  <c r="E126" i="42"/>
  <c r="F126" i="42" s="1"/>
  <c r="B126" i="42"/>
  <c r="I125" i="42"/>
  <c r="H125" i="42"/>
  <c r="J125" i="38"/>
  <c r="J130" i="3"/>
  <c r="J129" i="22"/>
  <c r="J122" i="37"/>
  <c r="J125" i="31"/>
  <c r="J127" i="24"/>
  <c r="J126" i="27"/>
  <c r="J133" i="10"/>
  <c r="J122" i="39"/>
  <c r="J124" i="30"/>
  <c r="J128" i="23"/>
  <c r="J130" i="4"/>
  <c r="J121" i="40"/>
  <c r="G126" i="28"/>
  <c r="D127" i="28"/>
  <c r="E127" i="28" s="1"/>
  <c r="G130" i="22"/>
  <c r="D131" i="22"/>
  <c r="E131" i="22"/>
  <c r="J131" i="8"/>
  <c r="G131" i="4"/>
  <c r="D132" i="4"/>
  <c r="E132" i="4"/>
  <c r="G128" i="24"/>
  <c r="D129" i="24"/>
  <c r="E129" i="24"/>
  <c r="G122" i="40"/>
  <c r="D123" i="40"/>
  <c r="E123" i="40" s="1"/>
  <c r="G134" i="10"/>
  <c r="D135" i="10"/>
  <c r="E135" i="10" s="1"/>
  <c r="G132" i="6"/>
  <c r="D133" i="6"/>
  <c r="E133" i="6" s="1"/>
  <c r="G134" i="7"/>
  <c r="D135" i="7"/>
  <c r="E135" i="7"/>
  <c r="G127" i="27"/>
  <c r="D128" i="27"/>
  <c r="E128" i="27" s="1"/>
  <c r="J122" i="43"/>
  <c r="J125" i="29"/>
  <c r="G125" i="30"/>
  <c r="D126" i="30"/>
  <c r="E126" i="30"/>
  <c r="G131" i="3"/>
  <c r="D132" i="3"/>
  <c r="E132" i="3" s="1"/>
  <c r="G133" i="9"/>
  <c r="D134" i="9"/>
  <c r="E134" i="9" s="1"/>
  <c r="G123" i="43"/>
  <c r="D124" i="43"/>
  <c r="E124" i="43" s="1"/>
  <c r="G126" i="29"/>
  <c r="D127" i="29"/>
  <c r="E127" i="29"/>
  <c r="J129" i="25"/>
  <c r="G129" i="23"/>
  <c r="D130" i="23"/>
  <c r="E130" i="23"/>
  <c r="J131" i="6"/>
  <c r="G133" i="11"/>
  <c r="D134" i="11"/>
  <c r="E134" i="11"/>
  <c r="J133" i="7"/>
  <c r="G132" i="8"/>
  <c r="D133" i="8"/>
  <c r="E133" i="8"/>
  <c r="G126" i="31"/>
  <c r="D127" i="31"/>
  <c r="E127" i="31" s="1"/>
  <c r="G130" i="25"/>
  <c r="D131" i="25"/>
  <c r="E131" i="25" s="1"/>
  <c r="G123" i="37"/>
  <c r="D124" i="37"/>
  <c r="E124" i="37" s="1"/>
  <c r="G123" i="39"/>
  <c r="D124" i="39"/>
  <c r="E124" i="39" s="1"/>
  <c r="J125" i="28"/>
  <c r="J130" i="5"/>
  <c r="G131" i="5"/>
  <c r="D132" i="5"/>
  <c r="E132" i="5" s="1"/>
  <c r="J123" i="47" l="1"/>
  <c r="B125" i="46"/>
  <c r="F125" i="46"/>
  <c r="D125" i="47"/>
  <c r="E125" i="47" s="1"/>
  <c r="G124" i="47"/>
  <c r="I124" i="46"/>
  <c r="H124" i="46"/>
  <c r="G126" i="38"/>
  <c r="H126" i="38" s="1"/>
  <c r="F129" i="44"/>
  <c r="D130" i="44" s="1"/>
  <c r="H124" i="45"/>
  <c r="I124" i="45"/>
  <c r="B125" i="45"/>
  <c r="F125" i="45"/>
  <c r="G125" i="41"/>
  <c r="H125" i="41" s="1"/>
  <c r="J128" i="44"/>
  <c r="D127" i="42"/>
  <c r="B127" i="42" s="1"/>
  <c r="G126" i="42"/>
  <c r="E126" i="41"/>
  <c r="F126" i="41" s="1"/>
  <c r="B126" i="41"/>
  <c r="J125" i="42"/>
  <c r="E127" i="38"/>
  <c r="F127" i="38" s="1"/>
  <c r="B127" i="38"/>
  <c r="B132" i="5"/>
  <c r="F132" i="5"/>
  <c r="B124" i="37"/>
  <c r="F124" i="37"/>
  <c r="H130" i="25"/>
  <c r="I130" i="25"/>
  <c r="B124" i="43"/>
  <c r="F124" i="43"/>
  <c r="H133" i="9"/>
  <c r="I133" i="9"/>
  <c r="B133" i="6"/>
  <c r="F133" i="6"/>
  <c r="H134" i="10"/>
  <c r="I134" i="10"/>
  <c r="B132" i="4"/>
  <c r="F132" i="4"/>
  <c r="B131" i="22"/>
  <c r="F131" i="22"/>
  <c r="H126" i="28"/>
  <c r="I126" i="28"/>
  <c r="H131" i="5"/>
  <c r="I131" i="5"/>
  <c r="B133" i="8"/>
  <c r="F133" i="8"/>
  <c r="B134" i="11"/>
  <c r="F134" i="11"/>
  <c r="B130" i="23"/>
  <c r="F130" i="23"/>
  <c r="B127" i="29"/>
  <c r="F127" i="29"/>
  <c r="I123" i="43"/>
  <c r="H123" i="43"/>
  <c r="B126" i="30"/>
  <c r="F126" i="30"/>
  <c r="B135" i="7"/>
  <c r="F135" i="7"/>
  <c r="H132" i="6"/>
  <c r="I132" i="6"/>
  <c r="B129" i="24"/>
  <c r="F129" i="24"/>
  <c r="H131" i="4"/>
  <c r="I131" i="4"/>
  <c r="H130" i="22"/>
  <c r="I130" i="22"/>
  <c r="B124" i="39"/>
  <c r="F124" i="39"/>
  <c r="H123" i="39"/>
  <c r="I123" i="39"/>
  <c r="B127" i="31"/>
  <c r="F127" i="31"/>
  <c r="H132" i="8"/>
  <c r="I132" i="8"/>
  <c r="H133" i="11"/>
  <c r="I133" i="11"/>
  <c r="H129" i="23"/>
  <c r="I129" i="23"/>
  <c r="H126" i="29"/>
  <c r="I126" i="29"/>
  <c r="B132" i="3"/>
  <c r="F132" i="3"/>
  <c r="I125" i="30"/>
  <c r="H125" i="30"/>
  <c r="B128" i="27"/>
  <c r="F128" i="27"/>
  <c r="H134" i="7"/>
  <c r="I134" i="7"/>
  <c r="B123" i="40"/>
  <c r="F123" i="40"/>
  <c r="I128" i="24"/>
  <c r="H128" i="24"/>
  <c r="H123" i="37"/>
  <c r="I123" i="37"/>
  <c r="B131" i="25"/>
  <c r="F131" i="25"/>
  <c r="I126" i="31"/>
  <c r="H126" i="31"/>
  <c r="B134" i="9"/>
  <c r="F134" i="9"/>
  <c r="H131" i="3"/>
  <c r="I131" i="3"/>
  <c r="H127" i="27"/>
  <c r="I127" i="27"/>
  <c r="B135" i="10"/>
  <c r="F135" i="10"/>
  <c r="H122" i="40"/>
  <c r="I122" i="40"/>
  <c r="B127" i="28"/>
  <c r="F127" i="28"/>
  <c r="H124" i="47" l="1"/>
  <c r="I124" i="47"/>
  <c r="B125" i="47"/>
  <c r="F125" i="47"/>
  <c r="J124" i="46"/>
  <c r="G125" i="46"/>
  <c r="D126" i="46"/>
  <c r="E126" i="46"/>
  <c r="I126" i="38"/>
  <c r="J126" i="38" s="1"/>
  <c r="J124" i="45"/>
  <c r="G129" i="44"/>
  <c r="I129" i="44" s="1"/>
  <c r="G125" i="45"/>
  <c r="D126" i="45"/>
  <c r="E126" i="45"/>
  <c r="I125" i="41"/>
  <c r="J125" i="41" s="1"/>
  <c r="E130" i="44"/>
  <c r="F130" i="44" s="1"/>
  <c r="B130" i="44"/>
  <c r="E127" i="42"/>
  <c r="F127" i="42" s="1"/>
  <c r="D128" i="42" s="1"/>
  <c r="B128" i="42" s="1"/>
  <c r="G126" i="41"/>
  <c r="D127" i="41"/>
  <c r="B127" i="41" s="1"/>
  <c r="G127" i="38"/>
  <c r="D128" i="38"/>
  <c r="B128" i="38" s="1"/>
  <c r="E128" i="38"/>
  <c r="I126" i="42"/>
  <c r="H126" i="42"/>
  <c r="J125" i="30"/>
  <c r="J126" i="31"/>
  <c r="J123" i="43"/>
  <c r="J122" i="40"/>
  <c r="J131" i="4"/>
  <c r="J127" i="27"/>
  <c r="J134" i="7"/>
  <c r="J128" i="24"/>
  <c r="G127" i="28"/>
  <c r="D128" i="28"/>
  <c r="E128" i="28" s="1"/>
  <c r="G135" i="10"/>
  <c r="D136" i="10"/>
  <c r="E136" i="10"/>
  <c r="J131" i="3"/>
  <c r="J123" i="37"/>
  <c r="G123" i="40"/>
  <c r="D124" i="40"/>
  <c r="E124" i="40" s="1"/>
  <c r="G128" i="27"/>
  <c r="D129" i="27"/>
  <c r="E129" i="27" s="1"/>
  <c r="G132" i="3"/>
  <c r="D133" i="3"/>
  <c r="E133" i="3"/>
  <c r="J129" i="23"/>
  <c r="J132" i="8"/>
  <c r="J123" i="39"/>
  <c r="J130" i="22"/>
  <c r="J155" i="22" s="1"/>
  <c r="G129" i="24"/>
  <c r="D130" i="24"/>
  <c r="E130" i="24"/>
  <c r="G135" i="7"/>
  <c r="D136" i="7"/>
  <c r="E136" i="7" s="1"/>
  <c r="G130" i="23"/>
  <c r="D131" i="23"/>
  <c r="E131" i="23"/>
  <c r="G133" i="8"/>
  <c r="D134" i="8"/>
  <c r="E134" i="8"/>
  <c r="J126" i="28"/>
  <c r="G132" i="4"/>
  <c r="D133" i="4"/>
  <c r="E133" i="4"/>
  <c r="G133" i="6"/>
  <c r="D134" i="6"/>
  <c r="E134" i="6"/>
  <c r="G124" i="43"/>
  <c r="D125" i="43"/>
  <c r="E125" i="43" s="1"/>
  <c r="G124" i="37"/>
  <c r="D125" i="37"/>
  <c r="E125" i="37"/>
  <c r="G134" i="9"/>
  <c r="D135" i="9"/>
  <c r="E135" i="9"/>
  <c r="D132" i="25"/>
  <c r="E132" i="25" s="1"/>
  <c r="G131" i="25"/>
  <c r="J126" i="29"/>
  <c r="G127" i="31"/>
  <c r="D128" i="31"/>
  <c r="E128" i="31"/>
  <c r="G124" i="39"/>
  <c r="D125" i="39"/>
  <c r="E125" i="39" s="1"/>
  <c r="J132" i="6"/>
  <c r="G126" i="30"/>
  <c r="D127" i="30"/>
  <c r="E127" i="30" s="1"/>
  <c r="G127" i="29"/>
  <c r="D128" i="29"/>
  <c r="E128" i="29"/>
  <c r="G134" i="11"/>
  <c r="D135" i="11"/>
  <c r="E135" i="11"/>
  <c r="J131" i="5"/>
  <c r="G131" i="22"/>
  <c r="D132" i="22"/>
  <c r="E132" i="22"/>
  <c r="J134" i="10"/>
  <c r="J130" i="25"/>
  <c r="G132" i="5"/>
  <c r="D133" i="5"/>
  <c r="E133" i="5"/>
  <c r="J124" i="47" l="1"/>
  <c r="D126" i="47"/>
  <c r="E126" i="47" s="1"/>
  <c r="G125" i="47"/>
  <c r="B126" i="46"/>
  <c r="F126" i="46"/>
  <c r="I125" i="46"/>
  <c r="H125" i="46"/>
  <c r="H129" i="44"/>
  <c r="J129" i="44" s="1"/>
  <c r="I125" i="45"/>
  <c r="H125" i="45"/>
  <c r="F126" i="45"/>
  <c r="B126" i="45"/>
  <c r="G130" i="44"/>
  <c r="D131" i="44"/>
  <c r="B131" i="44" s="1"/>
  <c r="G127" i="42"/>
  <c r="I127" i="42" s="1"/>
  <c r="F128" i="38"/>
  <c r="G128" i="38" s="1"/>
  <c r="E128" i="42"/>
  <c r="F128" i="42" s="1"/>
  <c r="E127" i="41"/>
  <c r="F127" i="41" s="1"/>
  <c r="G127" i="41" s="1"/>
  <c r="I127" i="38"/>
  <c r="H127" i="38"/>
  <c r="J126" i="42"/>
  <c r="I126" i="41"/>
  <c r="H126" i="41"/>
  <c r="I132" i="5"/>
  <c r="H132" i="5"/>
  <c r="B135" i="11"/>
  <c r="F135" i="11"/>
  <c r="H127" i="29"/>
  <c r="I127" i="29"/>
  <c r="B135" i="9"/>
  <c r="F135" i="9"/>
  <c r="H124" i="37"/>
  <c r="I124" i="37"/>
  <c r="B133" i="4"/>
  <c r="F133" i="4"/>
  <c r="B134" i="8"/>
  <c r="F134" i="8"/>
  <c r="H130" i="23"/>
  <c r="I130" i="23"/>
  <c r="B133" i="3"/>
  <c r="F133" i="3"/>
  <c r="H128" i="27"/>
  <c r="I128" i="27"/>
  <c r="H135" i="10"/>
  <c r="I135" i="10"/>
  <c r="B133" i="5"/>
  <c r="F133" i="5"/>
  <c r="B132" i="22"/>
  <c r="F132" i="22"/>
  <c r="I131" i="22"/>
  <c r="H131" i="22"/>
  <c r="I134" i="11"/>
  <c r="H134" i="11"/>
  <c r="B128" i="31"/>
  <c r="F128" i="31"/>
  <c r="H131" i="25"/>
  <c r="I131" i="25"/>
  <c r="I134" i="9"/>
  <c r="H134" i="9"/>
  <c r="B134" i="6"/>
  <c r="F134" i="6"/>
  <c r="I132" i="4"/>
  <c r="H132" i="4"/>
  <c r="I133" i="8"/>
  <c r="H133" i="8"/>
  <c r="B130" i="24"/>
  <c r="F130" i="24"/>
  <c r="I132" i="3"/>
  <c r="H132" i="3"/>
  <c r="B127" i="30"/>
  <c r="F127" i="30"/>
  <c r="B125" i="39"/>
  <c r="F125" i="39"/>
  <c r="H127" i="31"/>
  <c r="I127" i="31"/>
  <c r="B132" i="25"/>
  <c r="F132" i="25"/>
  <c r="B125" i="43"/>
  <c r="F125" i="43"/>
  <c r="H133" i="6"/>
  <c r="I133" i="6"/>
  <c r="B136" i="7"/>
  <c r="F136" i="7"/>
  <c r="H129" i="24"/>
  <c r="I129" i="24"/>
  <c r="B124" i="40"/>
  <c r="F124" i="40"/>
  <c r="B128" i="28"/>
  <c r="F128" i="28"/>
  <c r="B128" i="29"/>
  <c r="F128" i="29"/>
  <c r="H126" i="30"/>
  <c r="I126" i="30"/>
  <c r="I124" i="39"/>
  <c r="H124" i="39"/>
  <c r="B125" i="37"/>
  <c r="F125" i="37"/>
  <c r="I124" i="43"/>
  <c r="H124" i="43"/>
  <c r="B131" i="23"/>
  <c r="F131" i="23"/>
  <c r="H135" i="7"/>
  <c r="I135" i="7"/>
  <c r="B129" i="27"/>
  <c r="F129" i="27"/>
  <c r="H123" i="40"/>
  <c r="I123" i="40"/>
  <c r="B136" i="10"/>
  <c r="F136" i="10"/>
  <c r="H127" i="28"/>
  <c r="I127" i="28"/>
  <c r="J125" i="46" l="1"/>
  <c r="I125" i="47"/>
  <c r="H125" i="47"/>
  <c r="G126" i="46"/>
  <c r="D127" i="46"/>
  <c r="E127" i="46"/>
  <c r="F126" i="47"/>
  <c r="B126" i="47"/>
  <c r="J125" i="45"/>
  <c r="D127" i="45"/>
  <c r="B127" i="45" s="1"/>
  <c r="G126" i="45"/>
  <c r="E127" i="45"/>
  <c r="E131" i="44"/>
  <c r="F131" i="44" s="1"/>
  <c r="H127" i="42"/>
  <c r="J127" i="42" s="1"/>
  <c r="D129" i="38"/>
  <c r="B129" i="38" s="1"/>
  <c r="I130" i="44"/>
  <c r="H130" i="44"/>
  <c r="D129" i="42"/>
  <c r="B129" i="42" s="1"/>
  <c r="G128" i="42"/>
  <c r="I128" i="42" s="1"/>
  <c r="D128" i="41"/>
  <c r="B128" i="41" s="1"/>
  <c r="E129" i="42"/>
  <c r="H127" i="41"/>
  <c r="I127" i="41"/>
  <c r="J126" i="41"/>
  <c r="H128" i="38"/>
  <c r="I128" i="38"/>
  <c r="J127" i="38"/>
  <c r="J124" i="39"/>
  <c r="J132" i="4"/>
  <c r="J124" i="43"/>
  <c r="J132" i="3"/>
  <c r="J124" i="37"/>
  <c r="J127" i="29"/>
  <c r="J133" i="8"/>
  <c r="J127" i="28"/>
  <c r="J123" i="40"/>
  <c r="J135" i="7"/>
  <c r="G128" i="29"/>
  <c r="D129" i="29"/>
  <c r="E129" i="29" s="1"/>
  <c r="G124" i="40"/>
  <c r="D125" i="40"/>
  <c r="E125" i="40" s="1"/>
  <c r="G136" i="7"/>
  <c r="D137" i="7"/>
  <c r="E137" i="7" s="1"/>
  <c r="G125" i="43"/>
  <c r="D126" i="43"/>
  <c r="E126" i="43"/>
  <c r="J127" i="31"/>
  <c r="G127" i="30"/>
  <c r="D128" i="30"/>
  <c r="E128" i="30"/>
  <c r="G130" i="24"/>
  <c r="D131" i="24"/>
  <c r="E131" i="24" s="1"/>
  <c r="G128" i="31"/>
  <c r="D129" i="31"/>
  <c r="E129" i="31"/>
  <c r="G133" i="5"/>
  <c r="D134" i="5"/>
  <c r="E134" i="5" s="1"/>
  <c r="J128" i="27"/>
  <c r="J130" i="23"/>
  <c r="J155" i="23" s="1"/>
  <c r="G133" i="4"/>
  <c r="D134" i="4"/>
  <c r="E134" i="4"/>
  <c r="G135" i="9"/>
  <c r="D136" i="9"/>
  <c r="E136" i="9" s="1"/>
  <c r="D136" i="11"/>
  <c r="G135" i="11"/>
  <c r="E136" i="11"/>
  <c r="G136" i="10"/>
  <c r="D137" i="10"/>
  <c r="E137" i="10"/>
  <c r="G129" i="27"/>
  <c r="D130" i="27"/>
  <c r="E130" i="27" s="1"/>
  <c r="G131" i="23"/>
  <c r="D132" i="23"/>
  <c r="E132" i="23" s="1"/>
  <c r="G125" i="37"/>
  <c r="D126" i="37"/>
  <c r="E126" i="37" s="1"/>
  <c r="J126" i="30"/>
  <c r="G128" i="28"/>
  <c r="D129" i="28"/>
  <c r="E129" i="28" s="1"/>
  <c r="J129" i="24"/>
  <c r="J133" i="6"/>
  <c r="G132" i="25"/>
  <c r="D133" i="25"/>
  <c r="E133" i="25" s="1"/>
  <c r="G125" i="39"/>
  <c r="D126" i="39"/>
  <c r="E126" i="39" s="1"/>
  <c r="G134" i="6"/>
  <c r="D135" i="6"/>
  <c r="E135" i="6"/>
  <c r="J131" i="25"/>
  <c r="G132" i="22"/>
  <c r="D133" i="22"/>
  <c r="E133" i="22"/>
  <c r="J135" i="10"/>
  <c r="G133" i="3"/>
  <c r="D134" i="3"/>
  <c r="E134" i="3"/>
  <c r="G134" i="8"/>
  <c r="D135" i="8"/>
  <c r="E135" i="8"/>
  <c r="J132" i="5"/>
  <c r="J125" i="47" l="1"/>
  <c r="I126" i="46"/>
  <c r="H126" i="46"/>
  <c r="G126" i="47"/>
  <c r="D127" i="47"/>
  <c r="E127" i="47" s="1"/>
  <c r="B127" i="46"/>
  <c r="F127" i="46"/>
  <c r="F127" i="45"/>
  <c r="D128" i="45" s="1"/>
  <c r="H126" i="45"/>
  <c r="I126" i="45"/>
  <c r="D132" i="44"/>
  <c r="B132" i="44" s="1"/>
  <c r="G131" i="44"/>
  <c r="I131" i="44" s="1"/>
  <c r="H128" i="42"/>
  <c r="J128" i="42" s="1"/>
  <c r="E129" i="38"/>
  <c r="F129" i="38" s="1"/>
  <c r="G129" i="38" s="1"/>
  <c r="E128" i="41"/>
  <c r="F128" i="41" s="1"/>
  <c r="G128" i="41" s="1"/>
  <c r="I128" i="41" s="1"/>
  <c r="F129" i="42"/>
  <c r="G129" i="42" s="1"/>
  <c r="J130" i="44"/>
  <c r="J155" i="44" s="1"/>
  <c r="E132" i="44"/>
  <c r="J128" i="38"/>
  <c r="J127" i="41"/>
  <c r="B135" i="8"/>
  <c r="F135" i="8"/>
  <c r="H133" i="3"/>
  <c r="I133" i="3"/>
  <c r="I132" i="22"/>
  <c r="H132" i="22"/>
  <c r="H134" i="6"/>
  <c r="I134" i="6"/>
  <c r="B130" i="27"/>
  <c r="F130" i="27"/>
  <c r="H136" i="10"/>
  <c r="I136" i="10"/>
  <c r="B134" i="4"/>
  <c r="F134" i="4"/>
  <c r="B129" i="31"/>
  <c r="F129" i="31"/>
  <c r="H130" i="24"/>
  <c r="I130" i="24"/>
  <c r="B125" i="40"/>
  <c r="F125" i="40"/>
  <c r="I128" i="29"/>
  <c r="H128" i="29"/>
  <c r="H134" i="8"/>
  <c r="I134" i="8"/>
  <c r="B133" i="25"/>
  <c r="F133" i="25"/>
  <c r="B132" i="23"/>
  <c r="F132" i="23"/>
  <c r="H129" i="27"/>
  <c r="I129" i="27"/>
  <c r="B136" i="9"/>
  <c r="F136" i="9"/>
  <c r="H133" i="4"/>
  <c r="I133" i="4"/>
  <c r="B134" i="5"/>
  <c r="F134" i="5"/>
  <c r="H128" i="31"/>
  <c r="I128" i="31"/>
  <c r="B137" i="7"/>
  <c r="F137" i="7"/>
  <c r="H124" i="40"/>
  <c r="I124" i="40"/>
  <c r="B126" i="39"/>
  <c r="F126" i="39"/>
  <c r="H132" i="25"/>
  <c r="I132" i="25"/>
  <c r="B129" i="28"/>
  <c r="F129" i="28"/>
  <c r="B126" i="37"/>
  <c r="F126" i="37"/>
  <c r="I131" i="23"/>
  <c r="H131" i="23"/>
  <c r="I135" i="11"/>
  <c r="H135" i="11"/>
  <c r="I135" i="9"/>
  <c r="H135" i="9"/>
  <c r="H133" i="5"/>
  <c r="I133" i="5"/>
  <c r="B128" i="30"/>
  <c r="F128" i="30"/>
  <c r="B126" i="43"/>
  <c r="F126" i="43"/>
  <c r="H136" i="7"/>
  <c r="I136" i="7"/>
  <c r="B134" i="3"/>
  <c r="F134" i="3"/>
  <c r="B133" i="22"/>
  <c r="F133" i="22"/>
  <c r="B135" i="6"/>
  <c r="F135" i="6"/>
  <c r="H125" i="39"/>
  <c r="I125" i="39"/>
  <c r="H128" i="28"/>
  <c r="I128" i="28"/>
  <c r="H125" i="37"/>
  <c r="I125" i="37"/>
  <c r="B137" i="10"/>
  <c r="F137" i="10"/>
  <c r="B136" i="11"/>
  <c r="F136" i="11"/>
  <c r="B131" i="24"/>
  <c r="F131" i="24"/>
  <c r="H127" i="30"/>
  <c r="I127" i="30"/>
  <c r="I125" i="43"/>
  <c r="H125" i="43"/>
  <c r="B129" i="29"/>
  <c r="F129" i="29"/>
  <c r="B127" i="47" l="1"/>
  <c r="F127" i="47"/>
  <c r="D128" i="46"/>
  <c r="G127" i="46"/>
  <c r="E128" i="46"/>
  <c r="I126" i="47"/>
  <c r="H126" i="47"/>
  <c r="J126" i="46"/>
  <c r="E128" i="45"/>
  <c r="F128" i="45" s="1"/>
  <c r="J126" i="45"/>
  <c r="G127" i="45"/>
  <c r="I127" i="45" s="1"/>
  <c r="H131" i="44"/>
  <c r="B128" i="45"/>
  <c r="F132" i="44"/>
  <c r="G132" i="44" s="1"/>
  <c r="D130" i="38"/>
  <c r="B130" i="38" s="1"/>
  <c r="D130" i="42"/>
  <c r="B130" i="42" s="1"/>
  <c r="D129" i="41"/>
  <c r="B129" i="41" s="1"/>
  <c r="H128" i="41"/>
  <c r="J128" i="41" s="1"/>
  <c r="E129" i="41"/>
  <c r="H129" i="38"/>
  <c r="I129" i="38"/>
  <c r="E130" i="42"/>
  <c r="I129" i="42"/>
  <c r="H129" i="42"/>
  <c r="E130" i="38"/>
  <c r="J136" i="10"/>
  <c r="J134" i="6"/>
  <c r="J133" i="3"/>
  <c r="J128" i="28"/>
  <c r="J133" i="5"/>
  <c r="J132" i="25"/>
  <c r="J155" i="25" s="1"/>
  <c r="J124" i="40"/>
  <c r="J128" i="31"/>
  <c r="J133" i="4"/>
  <c r="J129" i="27"/>
  <c r="J130" i="24"/>
  <c r="J155" i="24" s="1"/>
  <c r="G131" i="24"/>
  <c r="D132" i="24"/>
  <c r="E132" i="24"/>
  <c r="D135" i="3"/>
  <c r="E135" i="3" s="1"/>
  <c r="G134" i="3"/>
  <c r="G126" i="37"/>
  <c r="D127" i="37"/>
  <c r="E127" i="37"/>
  <c r="G129" i="29"/>
  <c r="D130" i="29"/>
  <c r="E130" i="29"/>
  <c r="J127" i="30"/>
  <c r="G136" i="11"/>
  <c r="D137" i="11"/>
  <c r="E137" i="11"/>
  <c r="J125" i="37"/>
  <c r="J125" i="39"/>
  <c r="G133" i="22"/>
  <c r="D134" i="22"/>
  <c r="E134" i="22"/>
  <c r="J136" i="7"/>
  <c r="G128" i="30"/>
  <c r="D129" i="30"/>
  <c r="E129" i="30"/>
  <c r="G129" i="28"/>
  <c r="D130" i="28"/>
  <c r="E130" i="28"/>
  <c r="G126" i="39"/>
  <c r="D127" i="39"/>
  <c r="E127" i="39" s="1"/>
  <c r="G137" i="7"/>
  <c r="D138" i="7"/>
  <c r="E138" i="7" s="1"/>
  <c r="G134" i="5"/>
  <c r="D135" i="5"/>
  <c r="E135" i="5" s="1"/>
  <c r="G136" i="9"/>
  <c r="D137" i="9"/>
  <c r="E137" i="9"/>
  <c r="G132" i="23"/>
  <c r="D133" i="23"/>
  <c r="E133" i="23"/>
  <c r="J134" i="8"/>
  <c r="G125" i="40"/>
  <c r="D126" i="40"/>
  <c r="E126" i="40"/>
  <c r="G129" i="31"/>
  <c r="D130" i="31"/>
  <c r="E130" i="31" s="1"/>
  <c r="G137" i="10"/>
  <c r="D138" i="10"/>
  <c r="E138" i="10"/>
  <c r="G135" i="6"/>
  <c r="D136" i="6"/>
  <c r="E136" i="6"/>
  <c r="G126" i="43"/>
  <c r="D127" i="43"/>
  <c r="E127" i="43"/>
  <c r="G134" i="4"/>
  <c r="D135" i="4"/>
  <c r="E135" i="4" s="1"/>
  <c r="G130" i="27"/>
  <c r="D131" i="27"/>
  <c r="E131" i="27"/>
  <c r="G135" i="8"/>
  <c r="D136" i="8"/>
  <c r="E136" i="8"/>
  <c r="G133" i="25"/>
  <c r="D134" i="25"/>
  <c r="E134" i="25" s="1"/>
  <c r="J125" i="43"/>
  <c r="J128" i="29"/>
  <c r="I127" i="46" l="1"/>
  <c r="H127" i="46"/>
  <c r="B128" i="46"/>
  <c r="F128" i="46"/>
  <c r="J126" i="47"/>
  <c r="G127" i="47"/>
  <c r="D128" i="47"/>
  <c r="E128" i="47" s="1"/>
  <c r="H127" i="45"/>
  <c r="J127" i="45" s="1"/>
  <c r="D133" i="44"/>
  <c r="B133" i="44" s="1"/>
  <c r="F130" i="38"/>
  <c r="G130" i="38" s="1"/>
  <c r="E133" i="44"/>
  <c r="D129" i="45"/>
  <c r="E129" i="45"/>
  <c r="G128" i="45"/>
  <c r="F130" i="42"/>
  <c r="D131" i="42" s="1"/>
  <c r="B131" i="42" s="1"/>
  <c r="F129" i="41"/>
  <c r="D130" i="41" s="1"/>
  <c r="B130" i="41" s="1"/>
  <c r="J129" i="38"/>
  <c r="I132" i="44"/>
  <c r="H132" i="44"/>
  <c r="J129" i="42"/>
  <c r="D131" i="38"/>
  <c r="B131" i="38" s="1"/>
  <c r="I134" i="4"/>
  <c r="H134" i="4"/>
  <c r="B138" i="10"/>
  <c r="F138" i="10"/>
  <c r="I129" i="31"/>
  <c r="H129" i="31"/>
  <c r="B135" i="5"/>
  <c r="F135" i="5"/>
  <c r="H137" i="7"/>
  <c r="I137" i="7"/>
  <c r="B129" i="30"/>
  <c r="F129" i="30"/>
  <c r="B134" i="22"/>
  <c r="F134" i="22"/>
  <c r="B127" i="37"/>
  <c r="F127" i="37"/>
  <c r="B135" i="3"/>
  <c r="F135" i="3"/>
  <c r="B136" i="8"/>
  <c r="F136" i="8"/>
  <c r="H130" i="27"/>
  <c r="I130" i="27"/>
  <c r="B136" i="6"/>
  <c r="F136" i="6"/>
  <c r="I137" i="10"/>
  <c r="H137" i="10"/>
  <c r="B137" i="9"/>
  <c r="F137" i="9"/>
  <c r="H134" i="5"/>
  <c r="I134" i="5"/>
  <c r="B130" i="28"/>
  <c r="F130" i="28"/>
  <c r="H128" i="30"/>
  <c r="I128" i="30"/>
  <c r="H133" i="22"/>
  <c r="I133" i="22"/>
  <c r="B137" i="11"/>
  <c r="F137" i="11"/>
  <c r="B130" i="29"/>
  <c r="F130" i="29"/>
  <c r="I126" i="37"/>
  <c r="H126" i="37"/>
  <c r="H135" i="8"/>
  <c r="I135" i="8"/>
  <c r="B127" i="43"/>
  <c r="F127" i="43"/>
  <c r="H135" i="6"/>
  <c r="I135" i="6"/>
  <c r="B126" i="40"/>
  <c r="F126" i="40"/>
  <c r="B133" i="23"/>
  <c r="F133" i="23"/>
  <c r="H136" i="9"/>
  <c r="I136" i="9"/>
  <c r="B127" i="39"/>
  <c r="F127" i="39"/>
  <c r="H129" i="28"/>
  <c r="I129" i="28"/>
  <c r="H136" i="11"/>
  <c r="I136" i="11"/>
  <c r="H129" i="29"/>
  <c r="I129" i="29"/>
  <c r="B132" i="24"/>
  <c r="F132" i="24"/>
  <c r="B131" i="27"/>
  <c r="F131" i="27"/>
  <c r="B134" i="25"/>
  <c r="F134" i="25"/>
  <c r="H133" i="25"/>
  <c r="I133" i="25"/>
  <c r="B135" i="4"/>
  <c r="F135" i="4"/>
  <c r="H126" i="43"/>
  <c r="I126" i="43"/>
  <c r="B130" i="31"/>
  <c r="F130" i="31"/>
  <c r="I125" i="40"/>
  <c r="H125" i="40"/>
  <c r="I132" i="23"/>
  <c r="H132" i="23"/>
  <c r="B138" i="7"/>
  <c r="F138" i="7"/>
  <c r="H126" i="39"/>
  <c r="I126" i="39"/>
  <c r="H134" i="3"/>
  <c r="I134" i="3"/>
  <c r="H131" i="24"/>
  <c r="I131" i="24"/>
  <c r="D129" i="46" l="1"/>
  <c r="G128" i="46"/>
  <c r="E129" i="46"/>
  <c r="B128" i="47"/>
  <c r="F128" i="47"/>
  <c r="H127" i="47"/>
  <c r="I127" i="47"/>
  <c r="J127" i="46"/>
  <c r="F133" i="44"/>
  <c r="D134" i="44" s="1"/>
  <c r="B134" i="44" s="1"/>
  <c r="G130" i="42"/>
  <c r="H130" i="42" s="1"/>
  <c r="F129" i="45"/>
  <c r="B129" i="45"/>
  <c r="E131" i="42"/>
  <c r="F131" i="42" s="1"/>
  <c r="H128" i="45"/>
  <c r="I128" i="45"/>
  <c r="G129" i="41"/>
  <c r="E130" i="41"/>
  <c r="F130" i="41" s="1"/>
  <c r="D131" i="41" s="1"/>
  <c r="B131" i="41" s="1"/>
  <c r="E131" i="38"/>
  <c r="F131" i="38" s="1"/>
  <c r="I130" i="38"/>
  <c r="H130" i="38"/>
  <c r="J137" i="7"/>
  <c r="J125" i="40"/>
  <c r="J128" i="30"/>
  <c r="J134" i="5"/>
  <c r="J126" i="39"/>
  <c r="G130" i="31"/>
  <c r="D131" i="31"/>
  <c r="E131" i="31" s="1"/>
  <c r="G135" i="4"/>
  <c r="D136" i="4"/>
  <c r="E136" i="4" s="1"/>
  <c r="G134" i="25"/>
  <c r="D135" i="25"/>
  <c r="E135" i="25" s="1"/>
  <c r="D133" i="24"/>
  <c r="G132" i="24"/>
  <c r="E133" i="24"/>
  <c r="G127" i="39"/>
  <c r="D128" i="39"/>
  <c r="E128" i="39" s="1"/>
  <c r="G133" i="23"/>
  <c r="D134" i="23"/>
  <c r="E134" i="23"/>
  <c r="J135" i="6"/>
  <c r="J135" i="8"/>
  <c r="G130" i="29"/>
  <c r="D131" i="29"/>
  <c r="E131" i="29" s="1"/>
  <c r="G130" i="28"/>
  <c r="D131" i="28"/>
  <c r="E131" i="28"/>
  <c r="D138" i="9"/>
  <c r="E138" i="9" s="1"/>
  <c r="G137" i="9"/>
  <c r="G136" i="6"/>
  <c r="D137" i="6"/>
  <c r="E137" i="6"/>
  <c r="G136" i="8"/>
  <c r="D137" i="8"/>
  <c r="E137" i="8" s="1"/>
  <c r="G127" i="37"/>
  <c r="D128" i="37"/>
  <c r="E128" i="37" s="1"/>
  <c r="G129" i="30"/>
  <c r="D130" i="30"/>
  <c r="E130" i="30" s="1"/>
  <c r="G135" i="5"/>
  <c r="D136" i="5"/>
  <c r="E136" i="5" s="1"/>
  <c r="G138" i="10"/>
  <c r="D139" i="10"/>
  <c r="E139" i="10" s="1"/>
  <c r="J134" i="3"/>
  <c r="G138" i="7"/>
  <c r="D139" i="7"/>
  <c r="E139" i="7" s="1"/>
  <c r="J126" i="43"/>
  <c r="G131" i="27"/>
  <c r="D132" i="27"/>
  <c r="E132" i="27" s="1"/>
  <c r="J129" i="29"/>
  <c r="J129" i="28"/>
  <c r="G126" i="40"/>
  <c r="D127" i="40"/>
  <c r="E127" i="40"/>
  <c r="G127" i="43"/>
  <c r="D128" i="43"/>
  <c r="E128" i="43" s="1"/>
  <c r="D138" i="11"/>
  <c r="E138" i="11" s="1"/>
  <c r="G137" i="11"/>
  <c r="J130" i="27"/>
  <c r="G135" i="3"/>
  <c r="D136" i="3"/>
  <c r="E136" i="3"/>
  <c r="G134" i="22"/>
  <c r="D135" i="22"/>
  <c r="E135" i="22" s="1"/>
  <c r="J126" i="37"/>
  <c r="J137" i="10"/>
  <c r="J129" i="31"/>
  <c r="J134" i="4"/>
  <c r="J127" i="47" l="1"/>
  <c r="I128" i="46"/>
  <c r="H128" i="46"/>
  <c r="D129" i="47"/>
  <c r="E129" i="47" s="1"/>
  <c r="G128" i="47"/>
  <c r="B129" i="46"/>
  <c r="F129" i="46"/>
  <c r="G133" i="44"/>
  <c r="I133" i="44" s="1"/>
  <c r="I130" i="42"/>
  <c r="J130" i="42" s="1"/>
  <c r="J155" i="42" s="1"/>
  <c r="E134" i="44"/>
  <c r="F134" i="44" s="1"/>
  <c r="D135" i="44" s="1"/>
  <c r="B135" i="44" s="1"/>
  <c r="J128" i="45"/>
  <c r="E130" i="45"/>
  <c r="D130" i="45"/>
  <c r="B130" i="45" s="1"/>
  <c r="G129" i="45"/>
  <c r="E131" i="41"/>
  <c r="F131" i="41" s="1"/>
  <c r="D132" i="41" s="1"/>
  <c r="B132" i="41" s="1"/>
  <c r="G130" i="41"/>
  <c r="I130" i="41" s="1"/>
  <c r="I129" i="41"/>
  <c r="H129" i="41"/>
  <c r="D132" i="38"/>
  <c r="B132" i="38" s="1"/>
  <c r="G131" i="38"/>
  <c r="I131" i="38" s="1"/>
  <c r="J130" i="38"/>
  <c r="J155" i="38" s="1"/>
  <c r="G131" i="42"/>
  <c r="D132" i="42"/>
  <c r="B136" i="3"/>
  <c r="F136" i="3"/>
  <c r="H127" i="43"/>
  <c r="I127" i="43"/>
  <c r="H131" i="27"/>
  <c r="I131" i="27"/>
  <c r="B128" i="37"/>
  <c r="F128" i="37"/>
  <c r="H136" i="8"/>
  <c r="I136" i="8"/>
  <c r="B134" i="23"/>
  <c r="F134" i="23"/>
  <c r="I127" i="39"/>
  <c r="H127" i="39"/>
  <c r="B135" i="22"/>
  <c r="F135" i="22"/>
  <c r="H135" i="3"/>
  <c r="I135" i="3"/>
  <c r="B130" i="30"/>
  <c r="F130" i="30"/>
  <c r="H137" i="9"/>
  <c r="I137" i="9"/>
  <c r="H133" i="23"/>
  <c r="I133" i="23"/>
  <c r="B135" i="25"/>
  <c r="F135" i="25"/>
  <c r="I135" i="4"/>
  <c r="H135" i="4"/>
  <c r="I134" i="22"/>
  <c r="H134" i="22"/>
  <c r="B127" i="40"/>
  <c r="F127" i="40"/>
  <c r="B136" i="5"/>
  <c r="F136" i="5"/>
  <c r="H129" i="30"/>
  <c r="I129" i="30"/>
  <c r="B137" i="6"/>
  <c r="F137" i="6"/>
  <c r="B138" i="9"/>
  <c r="F138" i="9"/>
  <c r="H132" i="24"/>
  <c r="I132" i="24"/>
  <c r="I134" i="25"/>
  <c r="H134" i="25"/>
  <c r="I137" i="11"/>
  <c r="H137" i="11"/>
  <c r="H138" i="7"/>
  <c r="I138" i="7"/>
  <c r="H138" i="10"/>
  <c r="I138" i="10"/>
  <c r="B131" i="28"/>
  <c r="F131" i="28"/>
  <c r="H130" i="29"/>
  <c r="I130" i="29"/>
  <c r="B136" i="4"/>
  <c r="F136" i="4"/>
  <c r="H130" i="31"/>
  <c r="I130" i="31"/>
  <c r="B138" i="11"/>
  <c r="F138" i="11"/>
  <c r="H127" i="37"/>
  <c r="I127" i="37"/>
  <c r="H130" i="28"/>
  <c r="I130" i="28"/>
  <c r="B128" i="43"/>
  <c r="F128" i="43"/>
  <c r="H126" i="40"/>
  <c r="I126" i="40"/>
  <c r="B132" i="27"/>
  <c r="F132" i="27"/>
  <c r="B139" i="7"/>
  <c r="F139" i="7"/>
  <c r="B139" i="10"/>
  <c r="F139" i="10"/>
  <c r="I135" i="5"/>
  <c r="H135" i="5"/>
  <c r="B137" i="8"/>
  <c r="F137" i="8"/>
  <c r="H136" i="6"/>
  <c r="I136" i="6"/>
  <c r="B131" i="29"/>
  <c r="F131" i="29"/>
  <c r="B128" i="39"/>
  <c r="F128" i="39"/>
  <c r="B133" i="24"/>
  <c r="F133" i="24"/>
  <c r="B131" i="31"/>
  <c r="F131" i="31"/>
  <c r="H133" i="44" l="1"/>
  <c r="J128" i="46"/>
  <c r="G129" i="46"/>
  <c r="D130" i="46"/>
  <c r="E130" i="46"/>
  <c r="B129" i="47"/>
  <c r="F129" i="47"/>
  <c r="H128" i="47"/>
  <c r="I128" i="47"/>
  <c r="H130" i="41"/>
  <c r="J130" i="41" s="1"/>
  <c r="E135" i="44"/>
  <c r="F135" i="44" s="1"/>
  <c r="D136" i="44" s="1"/>
  <c r="B136" i="44" s="1"/>
  <c r="G134" i="44"/>
  <c r="H134" i="44" s="1"/>
  <c r="F130" i="45"/>
  <c r="I129" i="45"/>
  <c r="H129" i="45"/>
  <c r="J129" i="41"/>
  <c r="H131" i="38"/>
  <c r="E132" i="38"/>
  <c r="F132" i="38" s="1"/>
  <c r="D133" i="38" s="1"/>
  <c r="G131" i="41"/>
  <c r="H131" i="41" s="1"/>
  <c r="E132" i="41"/>
  <c r="F132" i="41" s="1"/>
  <c r="G132" i="41" s="1"/>
  <c r="E132" i="42"/>
  <c r="F132" i="42" s="1"/>
  <c r="B132" i="42"/>
  <c r="H131" i="42"/>
  <c r="I131" i="42"/>
  <c r="J127" i="43"/>
  <c r="J136" i="6"/>
  <c r="J126" i="40"/>
  <c r="J130" i="28"/>
  <c r="J138" i="7"/>
  <c r="J129" i="30"/>
  <c r="J127" i="39"/>
  <c r="G139" i="7"/>
  <c r="D140" i="7"/>
  <c r="E140" i="7" s="1"/>
  <c r="G138" i="11"/>
  <c r="D139" i="11"/>
  <c r="E139" i="11" s="1"/>
  <c r="G136" i="4"/>
  <c r="D137" i="4"/>
  <c r="E137" i="4"/>
  <c r="G131" i="28"/>
  <c r="D132" i="28"/>
  <c r="E132" i="28"/>
  <c r="G138" i="9"/>
  <c r="D139" i="9"/>
  <c r="E139" i="9" s="1"/>
  <c r="G127" i="40"/>
  <c r="D128" i="40"/>
  <c r="E128" i="40"/>
  <c r="G130" i="30"/>
  <c r="D131" i="30"/>
  <c r="E131" i="30"/>
  <c r="G135" i="22"/>
  <c r="D136" i="22"/>
  <c r="E136" i="22"/>
  <c r="G134" i="23"/>
  <c r="D135" i="23"/>
  <c r="E135" i="23" s="1"/>
  <c r="G128" i="37"/>
  <c r="D129" i="37"/>
  <c r="E129" i="37"/>
  <c r="G131" i="31"/>
  <c r="D132" i="31"/>
  <c r="E132" i="31"/>
  <c r="G128" i="39"/>
  <c r="D129" i="39"/>
  <c r="E129" i="39" s="1"/>
  <c r="J135" i="5"/>
  <c r="J135" i="4"/>
  <c r="G133" i="24"/>
  <c r="D134" i="24"/>
  <c r="E134" i="24" s="1"/>
  <c r="G131" i="29"/>
  <c r="D132" i="29"/>
  <c r="E132" i="29" s="1"/>
  <c r="G137" i="8"/>
  <c r="D138" i="8"/>
  <c r="E138" i="8" s="1"/>
  <c r="G139" i="10"/>
  <c r="D140" i="10"/>
  <c r="E140" i="10" s="1"/>
  <c r="G132" i="27"/>
  <c r="D133" i="27"/>
  <c r="E133" i="27" s="1"/>
  <c r="G128" i="43"/>
  <c r="D129" i="43"/>
  <c r="E129" i="43"/>
  <c r="J127" i="37"/>
  <c r="J130" i="31"/>
  <c r="J130" i="29"/>
  <c r="J138" i="10"/>
  <c r="G137" i="6"/>
  <c r="D138" i="6"/>
  <c r="E138" i="6" s="1"/>
  <c r="G136" i="5"/>
  <c r="D137" i="5"/>
  <c r="E137" i="5" s="1"/>
  <c r="G135" i="25"/>
  <c r="D136" i="25"/>
  <c r="E136" i="25"/>
  <c r="J135" i="3"/>
  <c r="J136" i="8"/>
  <c r="J131" i="27"/>
  <c r="G136" i="3"/>
  <c r="D137" i="3"/>
  <c r="E137" i="3" s="1"/>
  <c r="G135" i="44" l="1"/>
  <c r="H135" i="44" s="1"/>
  <c r="J128" i="47"/>
  <c r="E136" i="44"/>
  <c r="F136" i="44" s="1"/>
  <c r="D137" i="44" s="1"/>
  <c r="B130" i="46"/>
  <c r="F130" i="46"/>
  <c r="D130" i="47"/>
  <c r="E130" i="47" s="1"/>
  <c r="G129" i="47"/>
  <c r="I129" i="46"/>
  <c r="H129" i="46"/>
  <c r="I134" i="44"/>
  <c r="J129" i="45"/>
  <c r="J155" i="41"/>
  <c r="G130" i="45"/>
  <c r="E131" i="45"/>
  <c r="D131" i="45"/>
  <c r="I131" i="41"/>
  <c r="I135" i="44"/>
  <c r="G132" i="38"/>
  <c r="H132" i="38" s="1"/>
  <c r="D133" i="41"/>
  <c r="B133" i="41" s="1"/>
  <c r="D133" i="42"/>
  <c r="G132" i="42"/>
  <c r="E133" i="38"/>
  <c r="F133" i="38" s="1"/>
  <c r="B133" i="38"/>
  <c r="I132" i="41"/>
  <c r="H132" i="41"/>
  <c r="E133" i="41"/>
  <c r="B136" i="25"/>
  <c r="F136" i="25"/>
  <c r="H136" i="5"/>
  <c r="I136" i="5"/>
  <c r="B133" i="27"/>
  <c r="F133" i="27"/>
  <c r="H139" i="10"/>
  <c r="I139" i="10"/>
  <c r="B134" i="24"/>
  <c r="F134" i="24"/>
  <c r="B132" i="31"/>
  <c r="F132" i="31"/>
  <c r="H128" i="37"/>
  <c r="I128" i="37"/>
  <c r="B131" i="30"/>
  <c r="F131" i="30"/>
  <c r="H127" i="40"/>
  <c r="I127" i="40"/>
  <c r="B137" i="4"/>
  <c r="F137" i="4"/>
  <c r="I138" i="11"/>
  <c r="H138" i="11"/>
  <c r="H135" i="25"/>
  <c r="I135" i="25"/>
  <c r="B129" i="43"/>
  <c r="F129" i="43"/>
  <c r="I132" i="27"/>
  <c r="H132" i="27"/>
  <c r="B132" i="29"/>
  <c r="F132" i="29"/>
  <c r="H133" i="24"/>
  <c r="I133" i="24"/>
  <c r="B129" i="39"/>
  <c r="F129" i="39"/>
  <c r="I131" i="31"/>
  <c r="H131" i="31"/>
  <c r="B136" i="22"/>
  <c r="F136" i="22"/>
  <c r="I130" i="30"/>
  <c r="H130" i="30"/>
  <c r="B132" i="28"/>
  <c r="F132" i="28"/>
  <c r="H136" i="4"/>
  <c r="I136" i="4"/>
  <c r="B138" i="6"/>
  <c r="F138" i="6"/>
  <c r="I128" i="43"/>
  <c r="H128" i="43"/>
  <c r="B138" i="8"/>
  <c r="F138" i="8"/>
  <c r="I131" i="29"/>
  <c r="H131" i="29"/>
  <c r="H128" i="39"/>
  <c r="I128" i="39"/>
  <c r="B135" i="23"/>
  <c r="F135" i="23"/>
  <c r="H135" i="22"/>
  <c r="I135" i="22"/>
  <c r="B139" i="9"/>
  <c r="F139" i="9"/>
  <c r="I131" i="28"/>
  <c r="H131" i="28"/>
  <c r="B140" i="7"/>
  <c r="F140" i="7"/>
  <c r="B137" i="3"/>
  <c r="F137" i="3"/>
  <c r="H136" i="3"/>
  <c r="I136" i="3"/>
  <c r="B137" i="5"/>
  <c r="F137" i="5"/>
  <c r="H137" i="6"/>
  <c r="I137" i="6"/>
  <c r="B140" i="10"/>
  <c r="F140" i="10"/>
  <c r="H137" i="8"/>
  <c r="I137" i="8"/>
  <c r="B129" i="37"/>
  <c r="F129" i="37"/>
  <c r="H134" i="23"/>
  <c r="I134" i="23"/>
  <c r="B128" i="40"/>
  <c r="F128" i="40"/>
  <c r="I138" i="9"/>
  <c r="H138" i="9"/>
  <c r="B139" i="11"/>
  <c r="F139" i="11"/>
  <c r="H139" i="7"/>
  <c r="I139" i="7"/>
  <c r="G136" i="44" l="1"/>
  <c r="F130" i="47"/>
  <c r="B130" i="47"/>
  <c r="J129" i="46"/>
  <c r="G130" i="46"/>
  <c r="E131" i="46"/>
  <c r="D131" i="46"/>
  <c r="H129" i="47"/>
  <c r="I129" i="47"/>
  <c r="I130" i="45"/>
  <c r="H130" i="45"/>
  <c r="F131" i="45"/>
  <c r="B131" i="45"/>
  <c r="I132" i="38"/>
  <c r="I136" i="44"/>
  <c r="H136" i="44"/>
  <c r="F133" i="41"/>
  <c r="G133" i="41" s="1"/>
  <c r="E137" i="44"/>
  <c r="F137" i="44" s="1"/>
  <c r="B137" i="44"/>
  <c r="D134" i="38"/>
  <c r="G133" i="38"/>
  <c r="I132" i="42"/>
  <c r="H132" i="42"/>
  <c r="E133" i="42"/>
  <c r="F133" i="42" s="1"/>
  <c r="B133" i="42"/>
  <c r="J131" i="29"/>
  <c r="J128" i="43"/>
  <c r="J130" i="30"/>
  <c r="J131" i="31"/>
  <c r="J131" i="28"/>
  <c r="J132" i="27"/>
  <c r="J139" i="7"/>
  <c r="J137" i="8"/>
  <c r="J137" i="6"/>
  <c r="J136" i="3"/>
  <c r="D141" i="7"/>
  <c r="E141" i="7" s="1"/>
  <c r="G140" i="7"/>
  <c r="G139" i="9"/>
  <c r="D140" i="9"/>
  <c r="E140" i="9" s="1"/>
  <c r="G135" i="23"/>
  <c r="D136" i="23"/>
  <c r="E136" i="23"/>
  <c r="J136" i="4"/>
  <c r="G137" i="4"/>
  <c r="D138" i="4"/>
  <c r="E138" i="4"/>
  <c r="G131" i="30"/>
  <c r="D132" i="30"/>
  <c r="E132" i="30"/>
  <c r="G132" i="31"/>
  <c r="D133" i="31"/>
  <c r="E133" i="31" s="1"/>
  <c r="J139" i="10"/>
  <c r="J136" i="5"/>
  <c r="G139" i="11"/>
  <c r="D140" i="11"/>
  <c r="E140" i="11"/>
  <c r="G128" i="40"/>
  <c r="D129" i="40"/>
  <c r="E129" i="40" s="1"/>
  <c r="G129" i="37"/>
  <c r="D130" i="37"/>
  <c r="E130" i="37" s="1"/>
  <c r="G140" i="10"/>
  <c r="D141" i="10"/>
  <c r="E141" i="10" s="1"/>
  <c r="G137" i="5"/>
  <c r="D138" i="5"/>
  <c r="E138" i="5"/>
  <c r="G137" i="3"/>
  <c r="D138" i="3"/>
  <c r="E138" i="3" s="1"/>
  <c r="J128" i="39"/>
  <c r="G138" i="8"/>
  <c r="D139" i="8"/>
  <c r="E139" i="8" s="1"/>
  <c r="G138" i="6"/>
  <c r="D139" i="6"/>
  <c r="E139" i="6" s="1"/>
  <c r="G132" i="28"/>
  <c r="D133" i="28"/>
  <c r="E133" i="28"/>
  <c r="G136" i="22"/>
  <c r="D137" i="22"/>
  <c r="E137" i="22" s="1"/>
  <c r="G129" i="39"/>
  <c r="D130" i="39"/>
  <c r="E130" i="39" s="1"/>
  <c r="G132" i="29"/>
  <c r="D133" i="29"/>
  <c r="E133" i="29" s="1"/>
  <c r="G129" i="43"/>
  <c r="D130" i="43"/>
  <c r="E130" i="43"/>
  <c r="J127" i="40"/>
  <c r="J128" i="37"/>
  <c r="G134" i="24"/>
  <c r="D135" i="24"/>
  <c r="E135" i="24" s="1"/>
  <c r="G133" i="27"/>
  <c r="D134" i="27"/>
  <c r="E134" i="27"/>
  <c r="G136" i="25"/>
  <c r="D137" i="25"/>
  <c r="E137" i="25"/>
  <c r="J129" i="47" l="1"/>
  <c r="I130" i="46"/>
  <c r="H130" i="46"/>
  <c r="B131" i="46"/>
  <c r="F131" i="46"/>
  <c r="D131" i="47"/>
  <c r="E131" i="47" s="1"/>
  <c r="G130" i="47"/>
  <c r="E132" i="45"/>
  <c r="D132" i="45"/>
  <c r="G131" i="45"/>
  <c r="J130" i="45"/>
  <c r="J155" i="45" s="1"/>
  <c r="D134" i="41"/>
  <c r="B134" i="41" s="1"/>
  <c r="D138" i="44"/>
  <c r="B138" i="44" s="1"/>
  <c r="G137" i="44"/>
  <c r="G133" i="42"/>
  <c r="D134" i="42"/>
  <c r="I133" i="41"/>
  <c r="H133" i="41"/>
  <c r="I133" i="38"/>
  <c r="H133" i="38"/>
  <c r="E134" i="41"/>
  <c r="E134" i="38"/>
  <c r="F134" i="38" s="1"/>
  <c r="B134" i="38"/>
  <c r="B130" i="43"/>
  <c r="F130" i="43"/>
  <c r="H132" i="29"/>
  <c r="I132" i="29"/>
  <c r="B133" i="28"/>
  <c r="F133" i="28"/>
  <c r="H138" i="6"/>
  <c r="I138" i="6"/>
  <c r="B141" i="10"/>
  <c r="F141" i="10"/>
  <c r="H129" i="37"/>
  <c r="I129" i="37"/>
  <c r="B138" i="4"/>
  <c r="F138" i="4"/>
  <c r="B136" i="23"/>
  <c r="F136" i="23"/>
  <c r="I139" i="9"/>
  <c r="H139" i="9"/>
  <c r="B134" i="27"/>
  <c r="F134" i="27"/>
  <c r="B137" i="25"/>
  <c r="F137" i="25"/>
  <c r="H133" i="27"/>
  <c r="I133" i="27"/>
  <c r="I129" i="43"/>
  <c r="H129" i="43"/>
  <c r="B137" i="22"/>
  <c r="F137" i="22"/>
  <c r="H132" i="28"/>
  <c r="I132" i="28"/>
  <c r="B138" i="5"/>
  <c r="F138" i="5"/>
  <c r="H140" i="10"/>
  <c r="I140" i="10"/>
  <c r="B140" i="11"/>
  <c r="F140" i="11"/>
  <c r="B132" i="30"/>
  <c r="F132" i="30"/>
  <c r="H137" i="4"/>
  <c r="I137" i="4"/>
  <c r="I135" i="23"/>
  <c r="H135" i="23"/>
  <c r="H134" i="24"/>
  <c r="I134" i="24"/>
  <c r="H136" i="25"/>
  <c r="I136" i="25"/>
  <c r="B130" i="39"/>
  <c r="F130" i="39"/>
  <c r="H136" i="22"/>
  <c r="I136" i="22"/>
  <c r="B139" i="8"/>
  <c r="F139" i="8"/>
  <c r="B138" i="3"/>
  <c r="F138" i="3"/>
  <c r="H137" i="5"/>
  <c r="I137" i="5"/>
  <c r="B129" i="40"/>
  <c r="F129" i="40"/>
  <c r="H139" i="11"/>
  <c r="I139" i="11"/>
  <c r="B133" i="31"/>
  <c r="F133" i="31"/>
  <c r="H131" i="30"/>
  <c r="I131" i="30"/>
  <c r="H140" i="7"/>
  <c r="I140" i="7"/>
  <c r="B135" i="24"/>
  <c r="F135" i="24"/>
  <c r="B133" i="29"/>
  <c r="F133" i="29"/>
  <c r="H129" i="39"/>
  <c r="I129" i="39"/>
  <c r="B139" i="6"/>
  <c r="F139" i="6"/>
  <c r="H138" i="8"/>
  <c r="I138" i="8"/>
  <c r="H137" i="3"/>
  <c r="I137" i="3"/>
  <c r="B130" i="37"/>
  <c r="F130" i="37"/>
  <c r="H128" i="40"/>
  <c r="I128" i="40"/>
  <c r="H132" i="31"/>
  <c r="I132" i="31"/>
  <c r="B140" i="9"/>
  <c r="F140" i="9"/>
  <c r="B141" i="7"/>
  <c r="F141" i="7"/>
  <c r="D132" i="46" l="1"/>
  <c r="G131" i="46"/>
  <c r="E132" i="46"/>
  <c r="I130" i="47"/>
  <c r="H130" i="47"/>
  <c r="F131" i="47"/>
  <c r="B131" i="47"/>
  <c r="J130" i="46"/>
  <c r="J155" i="46" s="1"/>
  <c r="F134" i="41"/>
  <c r="D135" i="41" s="1"/>
  <c r="I131" i="45"/>
  <c r="H131" i="45"/>
  <c r="B132" i="45"/>
  <c r="F132" i="45"/>
  <c r="E138" i="44"/>
  <c r="F138" i="44" s="1"/>
  <c r="I137" i="44"/>
  <c r="H137" i="44"/>
  <c r="G134" i="41"/>
  <c r="D135" i="38"/>
  <c r="G134" i="38"/>
  <c r="E134" i="42"/>
  <c r="F134" i="42" s="1"/>
  <c r="B134" i="42"/>
  <c r="I133" i="42"/>
  <c r="H133" i="42"/>
  <c r="J129" i="37"/>
  <c r="J138" i="6"/>
  <c r="J132" i="29"/>
  <c r="J129" i="43"/>
  <c r="G141" i="7"/>
  <c r="D142" i="7"/>
  <c r="E142" i="7" s="1"/>
  <c r="J132" i="31"/>
  <c r="G130" i="37"/>
  <c r="D131" i="37"/>
  <c r="E131" i="37" s="1"/>
  <c r="J138" i="8"/>
  <c r="J129" i="39"/>
  <c r="G135" i="24"/>
  <c r="D136" i="24"/>
  <c r="E136" i="24" s="1"/>
  <c r="J131" i="30"/>
  <c r="J137" i="5"/>
  <c r="G139" i="8"/>
  <c r="D140" i="8"/>
  <c r="E140" i="8" s="1"/>
  <c r="G130" i="39"/>
  <c r="D131" i="39"/>
  <c r="E131" i="39" s="1"/>
  <c r="J137" i="4"/>
  <c r="G140" i="11"/>
  <c r="D141" i="11"/>
  <c r="E141" i="11" s="1"/>
  <c r="G138" i="5"/>
  <c r="D139" i="5"/>
  <c r="E139" i="5" s="1"/>
  <c r="G137" i="22"/>
  <c r="D138" i="22"/>
  <c r="E138" i="22" s="1"/>
  <c r="J133" i="27"/>
  <c r="G134" i="27"/>
  <c r="D135" i="27"/>
  <c r="E135" i="27" s="1"/>
  <c r="G136" i="23"/>
  <c r="D137" i="23"/>
  <c r="E137" i="23"/>
  <c r="G140" i="9"/>
  <c r="D141" i="9"/>
  <c r="E141" i="9" s="1"/>
  <c r="J128" i="40"/>
  <c r="J137" i="3"/>
  <c r="G139" i="6"/>
  <c r="D140" i="6"/>
  <c r="E140" i="6" s="1"/>
  <c r="G133" i="29"/>
  <c r="D134" i="29"/>
  <c r="E134" i="29" s="1"/>
  <c r="J140" i="7"/>
  <c r="G133" i="31"/>
  <c r="D134" i="31"/>
  <c r="E134" i="31" s="1"/>
  <c r="G129" i="40"/>
  <c r="D130" i="40"/>
  <c r="E130" i="40" s="1"/>
  <c r="G138" i="3"/>
  <c r="D139" i="3"/>
  <c r="E139" i="3" s="1"/>
  <c r="G132" i="30"/>
  <c r="D133" i="30"/>
  <c r="E133" i="30" s="1"/>
  <c r="J140" i="10"/>
  <c r="J132" i="28"/>
  <c r="G137" i="25"/>
  <c r="D138" i="25"/>
  <c r="E138" i="25"/>
  <c r="G138" i="4"/>
  <c r="D139" i="4"/>
  <c r="E139" i="4" s="1"/>
  <c r="G141" i="10"/>
  <c r="D142" i="10"/>
  <c r="E142" i="10" s="1"/>
  <c r="G133" i="28"/>
  <c r="D134" i="28"/>
  <c r="E134" i="28"/>
  <c r="G130" i="43"/>
  <c r="D131" i="43"/>
  <c r="E131" i="43" s="1"/>
  <c r="J130" i="47" l="1"/>
  <c r="J155" i="47" s="1"/>
  <c r="G131" i="47"/>
  <c r="D132" i="47"/>
  <c r="E132" i="47" s="1"/>
  <c r="I131" i="46"/>
  <c r="H131" i="46"/>
  <c r="B132" i="46"/>
  <c r="F132" i="46"/>
  <c r="D133" i="45"/>
  <c r="E133" i="45"/>
  <c r="G132" i="45"/>
  <c r="E139" i="44"/>
  <c r="D139" i="44"/>
  <c r="B139" i="44" s="1"/>
  <c r="G138" i="44"/>
  <c r="I138" i="44" s="1"/>
  <c r="I134" i="38"/>
  <c r="H134" i="38"/>
  <c r="D135" i="42"/>
  <c r="G134" i="42"/>
  <c r="E135" i="38"/>
  <c r="F135" i="38" s="1"/>
  <c r="B135" i="38"/>
  <c r="E135" i="41"/>
  <c r="F135" i="41" s="1"/>
  <c r="B135" i="41"/>
  <c r="I134" i="41"/>
  <c r="H134" i="41"/>
  <c r="B139" i="4"/>
  <c r="F139" i="4"/>
  <c r="H137" i="25"/>
  <c r="I137" i="25"/>
  <c r="B133" i="30"/>
  <c r="F133" i="30"/>
  <c r="I138" i="3"/>
  <c r="H138" i="3"/>
  <c r="B140" i="6"/>
  <c r="F140" i="6"/>
  <c r="B137" i="23"/>
  <c r="F137" i="23"/>
  <c r="I134" i="27"/>
  <c r="H134" i="27"/>
  <c r="I137" i="22"/>
  <c r="H137" i="22"/>
  <c r="B140" i="8"/>
  <c r="F140" i="8"/>
  <c r="B142" i="10"/>
  <c r="F142" i="10"/>
  <c r="I138" i="4"/>
  <c r="H138" i="4"/>
  <c r="H132" i="30"/>
  <c r="I132" i="30"/>
  <c r="B134" i="31"/>
  <c r="F134" i="31"/>
  <c r="B134" i="29"/>
  <c r="F134" i="29"/>
  <c r="H139" i="6"/>
  <c r="I139" i="6"/>
  <c r="B141" i="9"/>
  <c r="F141" i="9"/>
  <c r="I136" i="23"/>
  <c r="H136" i="23"/>
  <c r="B141" i="11"/>
  <c r="F141" i="11"/>
  <c r="B131" i="39"/>
  <c r="F131" i="39"/>
  <c r="H139" i="8"/>
  <c r="I139" i="8"/>
  <c r="B136" i="24"/>
  <c r="F136" i="24"/>
  <c r="B134" i="28"/>
  <c r="F134" i="28"/>
  <c r="H141" i="10"/>
  <c r="I141" i="10"/>
  <c r="B130" i="40"/>
  <c r="F130" i="40"/>
  <c r="I133" i="31"/>
  <c r="H133" i="31"/>
  <c r="H133" i="29"/>
  <c r="I133" i="29"/>
  <c r="I140" i="9"/>
  <c r="H140" i="9"/>
  <c r="B139" i="5"/>
  <c r="F139" i="5"/>
  <c r="H140" i="11"/>
  <c r="I140" i="11"/>
  <c r="H130" i="39"/>
  <c r="I130" i="39"/>
  <c r="I135" i="24"/>
  <c r="H135" i="24"/>
  <c r="B131" i="37"/>
  <c r="F131" i="37"/>
  <c r="B142" i="7"/>
  <c r="F142" i="7"/>
  <c r="H130" i="43"/>
  <c r="I130" i="43"/>
  <c r="B131" i="43"/>
  <c r="F131" i="43"/>
  <c r="I133" i="28"/>
  <c r="H133" i="28"/>
  <c r="B138" i="25"/>
  <c r="F138" i="25"/>
  <c r="B139" i="3"/>
  <c r="F139" i="3"/>
  <c r="I129" i="40"/>
  <c r="H129" i="40"/>
  <c r="B135" i="27"/>
  <c r="F135" i="27"/>
  <c r="B138" i="22"/>
  <c r="F138" i="22"/>
  <c r="I138" i="5"/>
  <c r="H138" i="5"/>
  <c r="H130" i="37"/>
  <c r="I130" i="37"/>
  <c r="H141" i="7"/>
  <c r="I141" i="7"/>
  <c r="D133" i="46" l="1"/>
  <c r="G132" i="46"/>
  <c r="E133" i="46"/>
  <c r="B132" i="47"/>
  <c r="F132" i="47"/>
  <c r="H131" i="47"/>
  <c r="I131" i="47"/>
  <c r="I132" i="45"/>
  <c r="H132" i="45"/>
  <c r="F139" i="44"/>
  <c r="D140" i="44" s="1"/>
  <c r="B140" i="44" s="1"/>
  <c r="F133" i="45"/>
  <c r="B133" i="45"/>
  <c r="H138" i="44"/>
  <c r="D136" i="41"/>
  <c r="G135" i="41"/>
  <c r="E135" i="42"/>
  <c r="F135" i="42" s="1"/>
  <c r="B135" i="42"/>
  <c r="G135" i="38"/>
  <c r="D136" i="38"/>
  <c r="I134" i="42"/>
  <c r="H134" i="42"/>
  <c r="J138" i="5"/>
  <c r="J133" i="28"/>
  <c r="J130" i="37"/>
  <c r="J155" i="37" s="1"/>
  <c r="J141" i="10"/>
  <c r="J139" i="6"/>
  <c r="J138" i="3"/>
  <c r="G138" i="22"/>
  <c r="D139" i="22"/>
  <c r="E139" i="22" s="1"/>
  <c r="G138" i="25"/>
  <c r="D139" i="25"/>
  <c r="E139" i="25"/>
  <c r="G142" i="7"/>
  <c r="D143" i="7"/>
  <c r="E143" i="7" s="1"/>
  <c r="G136" i="24"/>
  <c r="D137" i="24"/>
  <c r="E137" i="24" s="1"/>
  <c r="G131" i="39"/>
  <c r="D132" i="39"/>
  <c r="E132" i="39" s="1"/>
  <c r="G134" i="31"/>
  <c r="D135" i="31"/>
  <c r="E135" i="31" s="1"/>
  <c r="G140" i="8"/>
  <c r="D141" i="8"/>
  <c r="E141" i="8" s="1"/>
  <c r="G140" i="6"/>
  <c r="D141" i="6"/>
  <c r="E141" i="6" s="1"/>
  <c r="G133" i="30"/>
  <c r="D134" i="30"/>
  <c r="E134" i="30" s="1"/>
  <c r="J138" i="4"/>
  <c r="J134" i="27"/>
  <c r="J141" i="7"/>
  <c r="G135" i="27"/>
  <c r="D136" i="27"/>
  <c r="E136" i="27" s="1"/>
  <c r="G139" i="3"/>
  <c r="D140" i="3"/>
  <c r="E140" i="3" s="1"/>
  <c r="J130" i="43"/>
  <c r="J155" i="43" s="1"/>
  <c r="G131" i="37"/>
  <c r="D132" i="37"/>
  <c r="E132" i="37" s="1"/>
  <c r="J130" i="39"/>
  <c r="J155" i="39" s="1"/>
  <c r="G139" i="5"/>
  <c r="D140" i="5"/>
  <c r="E140" i="5" s="1"/>
  <c r="J133" i="29"/>
  <c r="G130" i="40"/>
  <c r="D131" i="40"/>
  <c r="E131" i="40" s="1"/>
  <c r="G134" i="28"/>
  <c r="D135" i="28"/>
  <c r="E135" i="28"/>
  <c r="J139" i="8"/>
  <c r="G141" i="11"/>
  <c r="D142" i="11"/>
  <c r="E142" i="11" s="1"/>
  <c r="G141" i="9"/>
  <c r="D142" i="9"/>
  <c r="E142" i="9" s="1"/>
  <c r="G134" i="29"/>
  <c r="D135" i="29"/>
  <c r="E135" i="29" s="1"/>
  <c r="J132" i="30"/>
  <c r="G142" i="10"/>
  <c r="D143" i="10"/>
  <c r="E143" i="10" s="1"/>
  <c r="G137" i="23"/>
  <c r="D138" i="23"/>
  <c r="E138" i="23" s="1"/>
  <c r="G131" i="43"/>
  <c r="D132" i="43"/>
  <c r="E132" i="43" s="1"/>
  <c r="G139" i="4"/>
  <c r="D140" i="4"/>
  <c r="E140" i="4" s="1"/>
  <c r="J129" i="40"/>
  <c r="J133" i="31"/>
  <c r="I132" i="46" l="1"/>
  <c r="H132" i="46"/>
  <c r="G132" i="47"/>
  <c r="D133" i="47"/>
  <c r="E133" i="47" s="1"/>
  <c r="F133" i="46"/>
  <c r="B133" i="46"/>
  <c r="G139" i="44"/>
  <c r="H139" i="44" s="1"/>
  <c r="E140" i="44"/>
  <c r="F140" i="44" s="1"/>
  <c r="E134" i="45"/>
  <c r="G133" i="45"/>
  <c r="D134" i="45"/>
  <c r="G135" i="42"/>
  <c r="D136" i="42"/>
  <c r="E136" i="38"/>
  <c r="F136" i="38" s="1"/>
  <c r="B136" i="38"/>
  <c r="I135" i="38"/>
  <c r="H135" i="38"/>
  <c r="I135" i="41"/>
  <c r="H135" i="41"/>
  <c r="E136" i="41"/>
  <c r="F136" i="41" s="1"/>
  <c r="B136" i="41"/>
  <c r="I137" i="23"/>
  <c r="H137" i="23"/>
  <c r="B142" i="11"/>
  <c r="F142" i="11"/>
  <c r="H130" i="40"/>
  <c r="I130" i="40"/>
  <c r="H139" i="5"/>
  <c r="I139" i="5"/>
  <c r="I131" i="37"/>
  <c r="H131" i="37"/>
  <c r="H139" i="3"/>
  <c r="I139" i="3"/>
  <c r="H140" i="6"/>
  <c r="I140" i="6"/>
  <c r="B140" i="4"/>
  <c r="F140" i="4"/>
  <c r="B142" i="9"/>
  <c r="F142" i="9"/>
  <c r="H134" i="28"/>
  <c r="I134" i="28"/>
  <c r="B135" i="31"/>
  <c r="F135" i="31"/>
  <c r="B139" i="25"/>
  <c r="F139" i="25"/>
  <c r="I138" i="22"/>
  <c r="H138" i="22"/>
  <c r="H139" i="4"/>
  <c r="I139" i="4"/>
  <c r="B143" i="10"/>
  <c r="F143" i="10"/>
  <c r="B135" i="29"/>
  <c r="F135" i="29"/>
  <c r="H141" i="9"/>
  <c r="I141" i="9"/>
  <c r="B136" i="27"/>
  <c r="F136" i="27"/>
  <c r="B141" i="8"/>
  <c r="F141" i="8"/>
  <c r="H134" i="31"/>
  <c r="I134" i="31"/>
  <c r="B143" i="7"/>
  <c r="F143" i="7"/>
  <c r="I138" i="25"/>
  <c r="H138" i="25"/>
  <c r="B132" i="43"/>
  <c r="F132" i="43"/>
  <c r="B135" i="28"/>
  <c r="F135" i="28"/>
  <c r="B134" i="30"/>
  <c r="F134" i="30"/>
  <c r="B132" i="39"/>
  <c r="F132" i="39"/>
  <c r="I136" i="24"/>
  <c r="H136" i="24"/>
  <c r="B139" i="22"/>
  <c r="F139" i="22"/>
  <c r="I131" i="43"/>
  <c r="H131" i="43"/>
  <c r="H141" i="11"/>
  <c r="I141" i="11"/>
  <c r="H133" i="30"/>
  <c r="I133" i="30"/>
  <c r="H131" i="39"/>
  <c r="I131" i="39"/>
  <c r="B138" i="23"/>
  <c r="F138" i="23"/>
  <c r="H142" i="10"/>
  <c r="I142" i="10"/>
  <c r="I134" i="29"/>
  <c r="H134" i="29"/>
  <c r="B131" i="40"/>
  <c r="F131" i="40"/>
  <c r="B140" i="5"/>
  <c r="F140" i="5"/>
  <c r="B132" i="37"/>
  <c r="F132" i="37"/>
  <c r="B140" i="3"/>
  <c r="F140" i="3"/>
  <c r="H135" i="27"/>
  <c r="I135" i="27"/>
  <c r="B141" i="6"/>
  <c r="F141" i="6"/>
  <c r="H140" i="8"/>
  <c r="I140" i="8"/>
  <c r="F137" i="24"/>
  <c r="B137" i="24"/>
  <c r="H142" i="7"/>
  <c r="I142" i="7"/>
  <c r="B133" i="47" l="1"/>
  <c r="F133" i="47"/>
  <c r="I139" i="44"/>
  <c r="I132" i="47"/>
  <c r="H132" i="47"/>
  <c r="G133" i="46"/>
  <c r="E134" i="46"/>
  <c r="D134" i="46"/>
  <c r="B134" i="45"/>
  <c r="F134" i="45"/>
  <c r="H133" i="45"/>
  <c r="I133" i="45"/>
  <c r="D141" i="44"/>
  <c r="G140" i="44"/>
  <c r="G136" i="38"/>
  <c r="D137" i="38"/>
  <c r="E136" i="42"/>
  <c r="F136" i="42" s="1"/>
  <c r="B136" i="42"/>
  <c r="G136" i="41"/>
  <c r="D137" i="41"/>
  <c r="B137" i="41" s="1"/>
  <c r="I135" i="42"/>
  <c r="H135" i="42"/>
  <c r="J140" i="6"/>
  <c r="J130" i="40"/>
  <c r="J155" i="40" s="1"/>
  <c r="J133" i="30"/>
  <c r="G141" i="6"/>
  <c r="D142" i="6"/>
  <c r="E142" i="6" s="1"/>
  <c r="G141" i="8"/>
  <c r="D142" i="8"/>
  <c r="E142" i="8" s="1"/>
  <c r="J134" i="29"/>
  <c r="J142" i="7"/>
  <c r="J140" i="8"/>
  <c r="J135" i="27"/>
  <c r="G132" i="37"/>
  <c r="D133" i="37"/>
  <c r="E133" i="37" s="1"/>
  <c r="G131" i="40"/>
  <c r="D132" i="40"/>
  <c r="E132" i="40" s="1"/>
  <c r="J142" i="10"/>
  <c r="G139" i="22"/>
  <c r="D140" i="22"/>
  <c r="E140" i="22" s="1"/>
  <c r="G132" i="39"/>
  <c r="D133" i="39"/>
  <c r="E133" i="39"/>
  <c r="G135" i="28"/>
  <c r="D136" i="28"/>
  <c r="E136" i="28"/>
  <c r="J134" i="31"/>
  <c r="G136" i="27"/>
  <c r="D137" i="27"/>
  <c r="E137" i="27"/>
  <c r="G135" i="29"/>
  <c r="D136" i="29"/>
  <c r="E136" i="29" s="1"/>
  <c r="J139" i="4"/>
  <c r="G139" i="25"/>
  <c r="D140" i="25"/>
  <c r="E140" i="25" s="1"/>
  <c r="J134" i="28"/>
  <c r="G140" i="4"/>
  <c r="D141" i="4"/>
  <c r="E141" i="4" s="1"/>
  <c r="J139" i="3"/>
  <c r="J139" i="5"/>
  <c r="G142" i="11"/>
  <c r="D143" i="11"/>
  <c r="E143" i="11" s="1"/>
  <c r="G140" i="3"/>
  <c r="D141" i="3"/>
  <c r="E141" i="3" s="1"/>
  <c r="G138" i="23"/>
  <c r="D139" i="23"/>
  <c r="E139" i="23" s="1"/>
  <c r="G143" i="7"/>
  <c r="D144" i="7"/>
  <c r="E144" i="7" s="1"/>
  <c r="D136" i="31"/>
  <c r="E136" i="31" s="1"/>
  <c r="G135" i="31"/>
  <c r="G132" i="43"/>
  <c r="D133" i="43"/>
  <c r="E133" i="43" s="1"/>
  <c r="G143" i="10"/>
  <c r="D144" i="10"/>
  <c r="E144" i="10" s="1"/>
  <c r="G142" i="9"/>
  <c r="D143" i="9"/>
  <c r="E143" i="9" s="1"/>
  <c r="G140" i="5"/>
  <c r="D141" i="5"/>
  <c r="E141" i="5" s="1"/>
  <c r="G134" i="30"/>
  <c r="D135" i="30"/>
  <c r="E135" i="30" s="1"/>
  <c r="G137" i="24"/>
  <c r="D138" i="24"/>
  <c r="E138" i="24" s="1"/>
  <c r="B134" i="46" l="1"/>
  <c r="F134" i="46"/>
  <c r="H133" i="46"/>
  <c r="I133" i="46"/>
  <c r="G133" i="47"/>
  <c r="D134" i="47"/>
  <c r="E134" i="47" s="1"/>
  <c r="D135" i="45"/>
  <c r="B135" i="45" s="1"/>
  <c r="E135" i="45"/>
  <c r="G134" i="45"/>
  <c r="I140" i="44"/>
  <c r="H140" i="44"/>
  <c r="E141" i="44"/>
  <c r="F141" i="44" s="1"/>
  <c r="B141" i="44"/>
  <c r="E137" i="41"/>
  <c r="F137" i="41" s="1"/>
  <c r="D138" i="41" s="1"/>
  <c r="D137" i="42"/>
  <c r="G136" i="42"/>
  <c r="H136" i="41"/>
  <c r="I136" i="41"/>
  <c r="E137" i="38"/>
  <c r="F137" i="38" s="1"/>
  <c r="B137" i="38"/>
  <c r="I136" i="38"/>
  <c r="H136" i="38"/>
  <c r="B141" i="3"/>
  <c r="F141" i="3"/>
  <c r="B141" i="4"/>
  <c r="F141" i="4"/>
  <c r="B140" i="25"/>
  <c r="F140" i="25"/>
  <c r="B136" i="29"/>
  <c r="F136" i="29"/>
  <c r="I136" i="27"/>
  <c r="H136" i="27"/>
  <c r="I135" i="28"/>
  <c r="H135" i="28"/>
  <c r="B133" i="37"/>
  <c r="F133" i="37"/>
  <c r="H141" i="8"/>
  <c r="I141" i="8"/>
  <c r="B135" i="30"/>
  <c r="F135" i="30"/>
  <c r="B136" i="31"/>
  <c r="F136" i="31"/>
  <c r="B138" i="24"/>
  <c r="F138" i="24"/>
  <c r="H134" i="30"/>
  <c r="I134" i="30"/>
  <c r="B144" i="10"/>
  <c r="F144" i="10"/>
  <c r="H132" i="43"/>
  <c r="I132" i="43"/>
  <c r="B139" i="23"/>
  <c r="F139" i="23"/>
  <c r="I140" i="3"/>
  <c r="H140" i="3"/>
  <c r="I140" i="4"/>
  <c r="H140" i="4"/>
  <c r="H139" i="25"/>
  <c r="I139" i="25"/>
  <c r="H135" i="29"/>
  <c r="I135" i="29"/>
  <c r="B140" i="22"/>
  <c r="F140" i="22"/>
  <c r="B132" i="40"/>
  <c r="F132" i="40"/>
  <c r="I132" i="37"/>
  <c r="H132" i="37"/>
  <c r="B141" i="5"/>
  <c r="F141" i="5"/>
  <c r="H140" i="5"/>
  <c r="I140" i="5"/>
  <c r="B133" i="43"/>
  <c r="F133" i="43"/>
  <c r="H142" i="11"/>
  <c r="I142" i="11"/>
  <c r="H137" i="24"/>
  <c r="I137" i="24"/>
  <c r="B143" i="9"/>
  <c r="F143" i="9"/>
  <c r="H143" i="10"/>
  <c r="I143" i="10"/>
  <c r="B144" i="7"/>
  <c r="F144" i="7"/>
  <c r="I138" i="23"/>
  <c r="H138" i="23"/>
  <c r="F133" i="39"/>
  <c r="B133" i="39"/>
  <c r="H139" i="22"/>
  <c r="I139" i="22"/>
  <c r="I131" i="40"/>
  <c r="H131" i="40"/>
  <c r="B142" i="6"/>
  <c r="F142" i="6"/>
  <c r="I142" i="9"/>
  <c r="H142" i="9"/>
  <c r="H135" i="31"/>
  <c r="I135" i="31"/>
  <c r="H143" i="7"/>
  <c r="I143" i="7"/>
  <c r="B143" i="11"/>
  <c r="F143" i="11"/>
  <c r="B137" i="27"/>
  <c r="F137" i="27"/>
  <c r="B136" i="28"/>
  <c r="F136" i="28"/>
  <c r="I132" i="39"/>
  <c r="H132" i="39"/>
  <c r="B142" i="8"/>
  <c r="F142" i="8"/>
  <c r="H141" i="6"/>
  <c r="I141" i="6"/>
  <c r="B134" i="47" l="1"/>
  <c r="F134" i="47"/>
  <c r="G134" i="46"/>
  <c r="D135" i="46"/>
  <c r="E135" i="46"/>
  <c r="H133" i="47"/>
  <c r="I133" i="47"/>
  <c r="H134" i="45"/>
  <c r="I134" i="45"/>
  <c r="F135" i="45"/>
  <c r="G137" i="41"/>
  <c r="I137" i="41" s="1"/>
  <c r="D142" i="44"/>
  <c r="G141" i="44"/>
  <c r="D138" i="38"/>
  <c r="G137" i="38"/>
  <c r="H136" i="42"/>
  <c r="I136" i="42"/>
  <c r="E138" i="41"/>
  <c r="F138" i="41" s="1"/>
  <c r="B138" i="41"/>
  <c r="E137" i="42"/>
  <c r="F137" i="42" s="1"/>
  <c r="B137" i="42"/>
  <c r="J140" i="3"/>
  <c r="J135" i="28"/>
  <c r="J140" i="4"/>
  <c r="J141" i="6"/>
  <c r="G137" i="27"/>
  <c r="D138" i="27"/>
  <c r="E138" i="27"/>
  <c r="J143" i="7"/>
  <c r="G144" i="7"/>
  <c r="D145" i="7"/>
  <c r="E145" i="7" s="1"/>
  <c r="G143" i="9"/>
  <c r="D144" i="9"/>
  <c r="E144" i="9" s="1"/>
  <c r="J140" i="5"/>
  <c r="G140" i="22"/>
  <c r="D141" i="22"/>
  <c r="E141" i="22" s="1"/>
  <c r="J134" i="30"/>
  <c r="G136" i="31"/>
  <c r="D137" i="31"/>
  <c r="E137" i="31" s="1"/>
  <c r="J141" i="8"/>
  <c r="G136" i="29"/>
  <c r="D137" i="29"/>
  <c r="E137" i="29" s="1"/>
  <c r="G141" i="4"/>
  <c r="D142" i="4"/>
  <c r="E142" i="4" s="1"/>
  <c r="D134" i="39"/>
  <c r="G133" i="39"/>
  <c r="E134" i="39"/>
  <c r="G142" i="8"/>
  <c r="D143" i="8"/>
  <c r="E143" i="8" s="1"/>
  <c r="D137" i="28"/>
  <c r="E137" i="28" s="1"/>
  <c r="G136" i="28"/>
  <c r="G143" i="11"/>
  <c r="D144" i="11"/>
  <c r="E144" i="11" s="1"/>
  <c r="J135" i="31"/>
  <c r="G142" i="6"/>
  <c r="D143" i="6"/>
  <c r="E143" i="6" s="1"/>
  <c r="J143" i="10"/>
  <c r="G133" i="43"/>
  <c r="D134" i="43"/>
  <c r="E134" i="43" s="1"/>
  <c r="G141" i="5"/>
  <c r="D142" i="5"/>
  <c r="E142" i="5" s="1"/>
  <c r="G132" i="40"/>
  <c r="D133" i="40"/>
  <c r="E133" i="40" s="1"/>
  <c r="J135" i="29"/>
  <c r="G139" i="23"/>
  <c r="D140" i="23"/>
  <c r="E140" i="23" s="1"/>
  <c r="G144" i="10"/>
  <c r="D145" i="10"/>
  <c r="E145" i="10" s="1"/>
  <c r="G138" i="24"/>
  <c r="D139" i="24"/>
  <c r="E139" i="24" s="1"/>
  <c r="G135" i="30"/>
  <c r="D136" i="30"/>
  <c r="E136" i="30" s="1"/>
  <c r="G133" i="37"/>
  <c r="D134" i="37"/>
  <c r="E134" i="37"/>
  <c r="G140" i="25"/>
  <c r="D141" i="25"/>
  <c r="E141" i="25" s="1"/>
  <c r="G141" i="3"/>
  <c r="D142" i="3"/>
  <c r="E142" i="3" s="1"/>
  <c r="J136" i="27"/>
  <c r="B135" i="46" l="1"/>
  <c r="F135" i="46"/>
  <c r="H134" i="46"/>
  <c r="I134" i="46"/>
  <c r="G134" i="47"/>
  <c r="D135" i="47"/>
  <c r="E135" i="47" s="1"/>
  <c r="H137" i="41"/>
  <c r="E136" i="45"/>
  <c r="G135" i="45"/>
  <c r="D136" i="45"/>
  <c r="B136" i="45" s="1"/>
  <c r="E142" i="44"/>
  <c r="F142" i="44" s="1"/>
  <c r="B142" i="44"/>
  <c r="I141" i="44"/>
  <c r="H141" i="44"/>
  <c r="G138" i="41"/>
  <c r="D139" i="41"/>
  <c r="G137" i="42"/>
  <c r="D138" i="42"/>
  <c r="H137" i="38"/>
  <c r="I137" i="38"/>
  <c r="E138" i="38"/>
  <c r="F138" i="38" s="1"/>
  <c r="B138" i="38"/>
  <c r="B142" i="3"/>
  <c r="F142" i="3"/>
  <c r="I140" i="25"/>
  <c r="H140" i="25"/>
  <c r="I141" i="3"/>
  <c r="H141" i="3"/>
  <c r="B136" i="30"/>
  <c r="F136" i="30"/>
  <c r="H138" i="24"/>
  <c r="I138" i="24"/>
  <c r="B142" i="5"/>
  <c r="F142" i="5"/>
  <c r="H133" i="43"/>
  <c r="I133" i="43"/>
  <c r="H142" i="6"/>
  <c r="I142" i="6"/>
  <c r="I143" i="11"/>
  <c r="H143" i="11"/>
  <c r="H133" i="39"/>
  <c r="I133" i="39"/>
  <c r="I141" i="4"/>
  <c r="H141" i="4"/>
  <c r="H135" i="30"/>
  <c r="I135" i="30"/>
  <c r="B140" i="23"/>
  <c r="F140" i="23"/>
  <c r="B133" i="40"/>
  <c r="F133" i="40"/>
  <c r="H141" i="5"/>
  <c r="I141" i="5"/>
  <c r="B143" i="8"/>
  <c r="F143" i="8"/>
  <c r="B134" i="39"/>
  <c r="F134" i="39"/>
  <c r="B145" i="7"/>
  <c r="F145" i="7"/>
  <c r="B138" i="27"/>
  <c r="F138" i="27"/>
  <c r="B141" i="25"/>
  <c r="F141" i="25"/>
  <c r="B145" i="10"/>
  <c r="F145" i="10"/>
  <c r="I139" i="23"/>
  <c r="H139" i="23"/>
  <c r="H132" i="40"/>
  <c r="I132" i="40"/>
  <c r="H136" i="28"/>
  <c r="I136" i="28"/>
  <c r="H142" i="8"/>
  <c r="I142" i="8"/>
  <c r="B137" i="29"/>
  <c r="F137" i="29"/>
  <c r="B137" i="31"/>
  <c r="F137" i="31"/>
  <c r="B141" i="22"/>
  <c r="F141" i="22"/>
  <c r="B144" i="9"/>
  <c r="F144" i="9"/>
  <c r="I144" i="7"/>
  <c r="H144" i="7"/>
  <c r="I137" i="27"/>
  <c r="H137" i="27"/>
  <c r="B134" i="37"/>
  <c r="F134" i="37"/>
  <c r="I133" i="37"/>
  <c r="H133" i="37"/>
  <c r="B139" i="24"/>
  <c r="F139" i="24"/>
  <c r="I144" i="10"/>
  <c r="H144" i="10"/>
  <c r="B134" i="43"/>
  <c r="F134" i="43"/>
  <c r="B143" i="6"/>
  <c r="F143" i="6"/>
  <c r="B144" i="11"/>
  <c r="F144" i="11"/>
  <c r="B137" i="28"/>
  <c r="F137" i="28"/>
  <c r="B142" i="4"/>
  <c r="F142" i="4"/>
  <c r="H136" i="29"/>
  <c r="I136" i="29"/>
  <c r="I136" i="31"/>
  <c r="H136" i="31"/>
  <c r="H140" i="22"/>
  <c r="I140" i="22"/>
  <c r="H143" i="9"/>
  <c r="I143" i="9"/>
  <c r="F135" i="47" l="1"/>
  <c r="B135" i="47"/>
  <c r="D136" i="46"/>
  <c r="B136" i="46" s="1"/>
  <c r="E136" i="46"/>
  <c r="G135" i="46"/>
  <c r="I134" i="47"/>
  <c r="H134" i="47"/>
  <c r="H135" i="45"/>
  <c r="I135" i="45"/>
  <c r="F136" i="45"/>
  <c r="D143" i="44"/>
  <c r="B143" i="44" s="1"/>
  <c r="G142" i="44"/>
  <c r="D139" i="38"/>
  <c r="G138" i="38"/>
  <c r="E139" i="41"/>
  <c r="F139" i="41" s="1"/>
  <c r="B139" i="41"/>
  <c r="E138" i="42"/>
  <c r="F138" i="42" s="1"/>
  <c r="B138" i="42"/>
  <c r="I137" i="42"/>
  <c r="H137" i="42"/>
  <c r="H138" i="41"/>
  <c r="I138" i="41"/>
  <c r="J136" i="31"/>
  <c r="J144" i="7"/>
  <c r="J141" i="5"/>
  <c r="J136" i="29"/>
  <c r="J142" i="8"/>
  <c r="J137" i="27"/>
  <c r="G142" i="4"/>
  <c r="D143" i="4"/>
  <c r="E143" i="4" s="1"/>
  <c r="G144" i="11"/>
  <c r="D145" i="11"/>
  <c r="E145" i="11" s="1"/>
  <c r="G134" i="43"/>
  <c r="D135" i="43"/>
  <c r="E135" i="43" s="1"/>
  <c r="G139" i="24"/>
  <c r="D140" i="24"/>
  <c r="E140" i="24" s="1"/>
  <c r="G134" i="37"/>
  <c r="D135" i="37"/>
  <c r="E135" i="37" s="1"/>
  <c r="G141" i="22"/>
  <c r="D142" i="22"/>
  <c r="E142" i="22" s="1"/>
  <c r="G137" i="29"/>
  <c r="D138" i="29"/>
  <c r="E138" i="29" s="1"/>
  <c r="J136" i="28"/>
  <c r="G141" i="25"/>
  <c r="D142" i="25"/>
  <c r="E142" i="25" s="1"/>
  <c r="G145" i="7"/>
  <c r="D146" i="7"/>
  <c r="E146" i="7" s="1"/>
  <c r="G143" i="8"/>
  <c r="D144" i="8"/>
  <c r="E144" i="8" s="1"/>
  <c r="G133" i="40"/>
  <c r="D134" i="40"/>
  <c r="E134" i="40"/>
  <c r="J135" i="30"/>
  <c r="J142" i="6"/>
  <c r="G142" i="5"/>
  <c r="D143" i="5"/>
  <c r="E143" i="5" s="1"/>
  <c r="G136" i="30"/>
  <c r="D137" i="30"/>
  <c r="E137" i="30" s="1"/>
  <c r="D138" i="28"/>
  <c r="E138" i="28" s="1"/>
  <c r="G137" i="28"/>
  <c r="G143" i="6"/>
  <c r="D144" i="6"/>
  <c r="E144" i="6" s="1"/>
  <c r="G144" i="9"/>
  <c r="D145" i="9"/>
  <c r="E145" i="9" s="1"/>
  <c r="G137" i="31"/>
  <c r="D138" i="31"/>
  <c r="E138" i="31" s="1"/>
  <c r="G145" i="10"/>
  <c r="D146" i="10"/>
  <c r="E146" i="10" s="1"/>
  <c r="G138" i="27"/>
  <c r="D139" i="27"/>
  <c r="E139" i="27" s="1"/>
  <c r="G134" i="39"/>
  <c r="D135" i="39"/>
  <c r="E135" i="39"/>
  <c r="G140" i="23"/>
  <c r="D141" i="23"/>
  <c r="E141" i="23" s="1"/>
  <c r="G142" i="3"/>
  <c r="D143" i="3"/>
  <c r="E143" i="3" s="1"/>
  <c r="J144" i="10"/>
  <c r="J141" i="4"/>
  <c r="J141" i="3"/>
  <c r="F136" i="46" l="1"/>
  <c r="G136" i="46" s="1"/>
  <c r="E137" i="46"/>
  <c r="D137" i="46"/>
  <c r="B137" i="46" s="1"/>
  <c r="H135" i="46"/>
  <c r="I135" i="46"/>
  <c r="G135" i="47"/>
  <c r="D136" i="47"/>
  <c r="E136" i="47" s="1"/>
  <c r="D137" i="45"/>
  <c r="G136" i="45"/>
  <c r="E137" i="45"/>
  <c r="E143" i="44"/>
  <c r="F143" i="44" s="1"/>
  <c r="I142" i="44"/>
  <c r="H142" i="44"/>
  <c r="I138" i="38"/>
  <c r="H138" i="38"/>
  <c r="G139" i="41"/>
  <c r="D140" i="41"/>
  <c r="B140" i="41" s="1"/>
  <c r="G138" i="42"/>
  <c r="D139" i="42"/>
  <c r="B139" i="42" s="1"/>
  <c r="E139" i="42"/>
  <c r="E139" i="38"/>
  <c r="F139" i="38" s="1"/>
  <c r="B139" i="38"/>
  <c r="H134" i="39"/>
  <c r="I134" i="39"/>
  <c r="B143" i="3"/>
  <c r="F143" i="3"/>
  <c r="H140" i="23"/>
  <c r="I140" i="23"/>
  <c r="B146" i="10"/>
  <c r="F146" i="10"/>
  <c r="H137" i="31"/>
  <c r="I137" i="31"/>
  <c r="H137" i="28"/>
  <c r="I137" i="28"/>
  <c r="H136" i="30"/>
  <c r="I136" i="30"/>
  <c r="I133" i="40"/>
  <c r="H133" i="40"/>
  <c r="B142" i="25"/>
  <c r="F142" i="25"/>
  <c r="B138" i="29"/>
  <c r="F138" i="29"/>
  <c r="H141" i="22"/>
  <c r="I141" i="22"/>
  <c r="B135" i="43"/>
  <c r="F135" i="43"/>
  <c r="H144" i="11"/>
  <c r="I144" i="11"/>
  <c r="H142" i="3"/>
  <c r="I142" i="3"/>
  <c r="B139" i="27"/>
  <c r="F139" i="27"/>
  <c r="H145" i="10"/>
  <c r="I145" i="10"/>
  <c r="B144" i="6"/>
  <c r="F144" i="6"/>
  <c r="B138" i="28"/>
  <c r="F138" i="28"/>
  <c r="B146" i="7"/>
  <c r="F146" i="7"/>
  <c r="I141" i="25"/>
  <c r="H141" i="25"/>
  <c r="H137" i="29"/>
  <c r="I137" i="29"/>
  <c r="B140" i="24"/>
  <c r="F140" i="24"/>
  <c r="H134" i="43"/>
  <c r="I134" i="43"/>
  <c r="B135" i="39"/>
  <c r="F135" i="39"/>
  <c r="I138" i="27"/>
  <c r="H138" i="27"/>
  <c r="B145" i="9"/>
  <c r="F145" i="9"/>
  <c r="I143" i="6"/>
  <c r="H143" i="6"/>
  <c r="B143" i="5"/>
  <c r="F143" i="5"/>
  <c r="B144" i="8"/>
  <c r="F144" i="8"/>
  <c r="I145" i="7"/>
  <c r="H145" i="7"/>
  <c r="B135" i="37"/>
  <c r="F135" i="37"/>
  <c r="H139" i="24"/>
  <c r="I139" i="24"/>
  <c r="B143" i="4"/>
  <c r="F143" i="4"/>
  <c r="B141" i="23"/>
  <c r="F141" i="23"/>
  <c r="B138" i="31"/>
  <c r="F138" i="31"/>
  <c r="I144" i="9"/>
  <c r="H144" i="9"/>
  <c r="B137" i="30"/>
  <c r="F137" i="30"/>
  <c r="I142" i="5"/>
  <c r="H142" i="5"/>
  <c r="B134" i="40"/>
  <c r="F134" i="40"/>
  <c r="H143" i="8"/>
  <c r="I143" i="8"/>
  <c r="B142" i="22"/>
  <c r="F142" i="22"/>
  <c r="H134" i="37"/>
  <c r="I134" i="37"/>
  <c r="B145" i="11"/>
  <c r="F145" i="11"/>
  <c r="H142" i="4"/>
  <c r="I142" i="4"/>
  <c r="F137" i="46" l="1"/>
  <c r="B136" i="47"/>
  <c r="F136" i="47"/>
  <c r="H135" i="47"/>
  <c r="I135" i="47"/>
  <c r="G137" i="46"/>
  <c r="E138" i="46"/>
  <c r="D138" i="46"/>
  <c r="H136" i="46"/>
  <c r="I136" i="46"/>
  <c r="H136" i="45"/>
  <c r="I136" i="45"/>
  <c r="B137" i="45"/>
  <c r="F137" i="45"/>
  <c r="G143" i="44"/>
  <c r="D144" i="44"/>
  <c r="F139" i="42"/>
  <c r="G139" i="42" s="1"/>
  <c r="E140" i="41"/>
  <c r="F140" i="41" s="1"/>
  <c r="I139" i="41"/>
  <c r="H139" i="41"/>
  <c r="G139" i="38"/>
  <c r="D140" i="38"/>
  <c r="B140" i="38" s="1"/>
  <c r="H138" i="42"/>
  <c r="I138" i="42"/>
  <c r="J137" i="31"/>
  <c r="J142" i="5"/>
  <c r="J145" i="7"/>
  <c r="J136" i="30"/>
  <c r="J137" i="29"/>
  <c r="J142" i="4"/>
  <c r="J143" i="8"/>
  <c r="G141" i="23"/>
  <c r="D142" i="23"/>
  <c r="E142" i="23" s="1"/>
  <c r="G143" i="5"/>
  <c r="D144" i="5"/>
  <c r="E144" i="5" s="1"/>
  <c r="D146" i="9"/>
  <c r="E146" i="9" s="1"/>
  <c r="G145" i="9"/>
  <c r="G135" i="39"/>
  <c r="D136" i="39"/>
  <c r="E136" i="39" s="1"/>
  <c r="G140" i="24"/>
  <c r="D141" i="24"/>
  <c r="E141" i="24" s="1"/>
  <c r="G138" i="28"/>
  <c r="D139" i="28"/>
  <c r="E139" i="28"/>
  <c r="J145" i="10"/>
  <c r="J142" i="3"/>
  <c r="G135" i="43"/>
  <c r="D136" i="43"/>
  <c r="E136" i="43"/>
  <c r="G138" i="29"/>
  <c r="D139" i="29"/>
  <c r="E139" i="29" s="1"/>
  <c r="J137" i="28"/>
  <c r="D147" i="10"/>
  <c r="E147" i="10" s="1"/>
  <c r="G146" i="10"/>
  <c r="G143" i="3"/>
  <c r="D144" i="3"/>
  <c r="E144" i="3" s="1"/>
  <c r="G145" i="11"/>
  <c r="D146" i="11"/>
  <c r="E146" i="11" s="1"/>
  <c r="G142" i="22"/>
  <c r="D143" i="22"/>
  <c r="E143" i="22" s="1"/>
  <c r="G134" i="40"/>
  <c r="D135" i="40"/>
  <c r="E135" i="40" s="1"/>
  <c r="G137" i="30"/>
  <c r="D138" i="30"/>
  <c r="E138" i="30" s="1"/>
  <c r="G138" i="31"/>
  <c r="D139" i="31"/>
  <c r="E139" i="31" s="1"/>
  <c r="G143" i="4"/>
  <c r="D144" i="4"/>
  <c r="E144" i="4" s="1"/>
  <c r="G135" i="37"/>
  <c r="D136" i="37"/>
  <c r="E136" i="37" s="1"/>
  <c r="D145" i="8"/>
  <c r="E145" i="8" s="1"/>
  <c r="G144" i="8"/>
  <c r="G146" i="7"/>
  <c r="D147" i="7"/>
  <c r="E147" i="7" s="1"/>
  <c r="G144" i="6"/>
  <c r="D145" i="6"/>
  <c r="E145" i="6" s="1"/>
  <c r="G139" i="27"/>
  <c r="D140" i="27"/>
  <c r="E140" i="27"/>
  <c r="G142" i="25"/>
  <c r="D143" i="25"/>
  <c r="E143" i="25" s="1"/>
  <c r="J143" i="6"/>
  <c r="J138" i="27"/>
  <c r="B138" i="46" l="1"/>
  <c r="F138" i="46"/>
  <c r="D137" i="47"/>
  <c r="E137" i="47" s="1"/>
  <c r="G136" i="47"/>
  <c r="I137" i="46"/>
  <c r="H137" i="46"/>
  <c r="D138" i="45"/>
  <c r="G137" i="45"/>
  <c r="E138" i="45"/>
  <c r="D140" i="42"/>
  <c r="B140" i="42" s="1"/>
  <c r="E144" i="44"/>
  <c r="F144" i="44" s="1"/>
  <c r="B144" i="44"/>
  <c r="I143" i="44"/>
  <c r="H143" i="44"/>
  <c r="E140" i="38"/>
  <c r="F140" i="38" s="1"/>
  <c r="D141" i="38" s="1"/>
  <c r="B141" i="38" s="1"/>
  <c r="G140" i="41"/>
  <c r="D141" i="41"/>
  <c r="H139" i="42"/>
  <c r="I139" i="42"/>
  <c r="H139" i="38"/>
  <c r="I139" i="38"/>
  <c r="I142" i="25"/>
  <c r="H142" i="25"/>
  <c r="B145" i="8"/>
  <c r="F145" i="8"/>
  <c r="B145" i="6"/>
  <c r="F145" i="6"/>
  <c r="H146" i="7"/>
  <c r="I146" i="7"/>
  <c r="B144" i="4"/>
  <c r="F144" i="4"/>
  <c r="H138" i="31"/>
  <c r="I138" i="31"/>
  <c r="B143" i="22"/>
  <c r="F143" i="22"/>
  <c r="H145" i="11"/>
  <c r="I145" i="11"/>
  <c r="B136" i="43"/>
  <c r="F136" i="43"/>
  <c r="F141" i="24"/>
  <c r="B141" i="24"/>
  <c r="H135" i="39"/>
  <c r="I135" i="39"/>
  <c r="B142" i="23"/>
  <c r="F142" i="23"/>
  <c r="B136" i="37"/>
  <c r="F136" i="37"/>
  <c r="B135" i="40"/>
  <c r="F135" i="40"/>
  <c r="I142" i="22"/>
  <c r="H142" i="22"/>
  <c r="H146" i="10"/>
  <c r="I146" i="10"/>
  <c r="B139" i="29"/>
  <c r="F139" i="29"/>
  <c r="I135" i="43"/>
  <c r="H135" i="43"/>
  <c r="B139" i="28"/>
  <c r="F139" i="28"/>
  <c r="I140" i="24"/>
  <c r="H140" i="24"/>
  <c r="B144" i="5"/>
  <c r="F144" i="5"/>
  <c r="H141" i="23"/>
  <c r="I141" i="23"/>
  <c r="B140" i="27"/>
  <c r="F140" i="27"/>
  <c r="H144" i="6"/>
  <c r="I144" i="6"/>
  <c r="H143" i="4"/>
  <c r="I143" i="4"/>
  <c r="B143" i="25"/>
  <c r="F143" i="25"/>
  <c r="H139" i="27"/>
  <c r="I139" i="27"/>
  <c r="H144" i="8"/>
  <c r="I144" i="8"/>
  <c r="H135" i="37"/>
  <c r="I135" i="37"/>
  <c r="B138" i="30"/>
  <c r="F138" i="30"/>
  <c r="H134" i="40"/>
  <c r="I134" i="40"/>
  <c r="B144" i="3"/>
  <c r="F144" i="3"/>
  <c r="B147" i="10"/>
  <c r="F147" i="10"/>
  <c r="H138" i="29"/>
  <c r="I138" i="29"/>
  <c r="I138" i="28"/>
  <c r="H138" i="28"/>
  <c r="H145" i="9"/>
  <c r="I145" i="9"/>
  <c r="H143" i="5"/>
  <c r="I143" i="5"/>
  <c r="B147" i="7"/>
  <c r="F147" i="7"/>
  <c r="B139" i="31"/>
  <c r="F139" i="31"/>
  <c r="H137" i="30"/>
  <c r="I137" i="30"/>
  <c r="B146" i="11"/>
  <c r="F146" i="11"/>
  <c r="H143" i="3"/>
  <c r="I143" i="3"/>
  <c r="B136" i="39"/>
  <c r="F136" i="39"/>
  <c r="B146" i="9"/>
  <c r="F146" i="9"/>
  <c r="I136" i="47" l="1"/>
  <c r="H136" i="47"/>
  <c r="F137" i="47"/>
  <c r="B137" i="47"/>
  <c r="E139" i="46"/>
  <c r="D139" i="46"/>
  <c r="G138" i="46"/>
  <c r="B138" i="45"/>
  <c r="F138" i="45"/>
  <c r="I137" i="45"/>
  <c r="H137" i="45"/>
  <c r="E140" i="42"/>
  <c r="F140" i="42" s="1"/>
  <c r="G144" i="44"/>
  <c r="D145" i="44"/>
  <c r="E141" i="38"/>
  <c r="F141" i="38" s="1"/>
  <c r="G141" i="38" s="1"/>
  <c r="G140" i="38"/>
  <c r="H140" i="38" s="1"/>
  <c r="E141" i="41"/>
  <c r="F141" i="41" s="1"/>
  <c r="B141" i="41"/>
  <c r="H140" i="41"/>
  <c r="I140" i="41"/>
  <c r="J138" i="28"/>
  <c r="G146" i="9"/>
  <c r="D147" i="9"/>
  <c r="E147" i="9" s="1"/>
  <c r="J143" i="3"/>
  <c r="J137" i="30"/>
  <c r="G147" i="7"/>
  <c r="D148" i="7"/>
  <c r="E148" i="7" s="1"/>
  <c r="J138" i="29"/>
  <c r="G144" i="3"/>
  <c r="D145" i="3"/>
  <c r="E145" i="3" s="1"/>
  <c r="G138" i="30"/>
  <c r="D139" i="30"/>
  <c r="E139" i="30"/>
  <c r="J144" i="8"/>
  <c r="G143" i="25"/>
  <c r="D144" i="25"/>
  <c r="E144" i="25" s="1"/>
  <c r="J144" i="6"/>
  <c r="J146" i="10"/>
  <c r="G135" i="40"/>
  <c r="D136" i="40"/>
  <c r="E136" i="40" s="1"/>
  <c r="G142" i="23"/>
  <c r="D143" i="23"/>
  <c r="E143" i="23" s="1"/>
  <c r="J138" i="31"/>
  <c r="J146" i="7"/>
  <c r="G145" i="8"/>
  <c r="D146" i="8"/>
  <c r="E146" i="8" s="1"/>
  <c r="G141" i="24"/>
  <c r="D142" i="24"/>
  <c r="E142" i="24" s="1"/>
  <c r="G136" i="39"/>
  <c r="D137" i="39"/>
  <c r="E137" i="39" s="1"/>
  <c r="G146" i="11"/>
  <c r="D147" i="11"/>
  <c r="E147" i="11" s="1"/>
  <c r="G139" i="31"/>
  <c r="D140" i="31"/>
  <c r="E140" i="31" s="1"/>
  <c r="J143" i="5"/>
  <c r="G147" i="10"/>
  <c r="D148" i="10"/>
  <c r="E148" i="10" s="1"/>
  <c r="J139" i="27"/>
  <c r="J143" i="4"/>
  <c r="G140" i="27"/>
  <c r="D141" i="27"/>
  <c r="E141" i="27" s="1"/>
  <c r="G144" i="5"/>
  <c r="D145" i="5"/>
  <c r="E145" i="5" s="1"/>
  <c r="G139" i="28"/>
  <c r="D140" i="28"/>
  <c r="E140" i="28" s="1"/>
  <c r="D140" i="29"/>
  <c r="E140" i="29" s="1"/>
  <c r="G139" i="29"/>
  <c r="G136" i="37"/>
  <c r="D137" i="37"/>
  <c r="E137" i="37" s="1"/>
  <c r="G136" i="43"/>
  <c r="D137" i="43"/>
  <c r="E137" i="43" s="1"/>
  <c r="G143" i="22"/>
  <c r="D144" i="22"/>
  <c r="E144" i="22" s="1"/>
  <c r="G144" i="4"/>
  <c r="D145" i="4"/>
  <c r="E145" i="4" s="1"/>
  <c r="G145" i="6"/>
  <c r="D146" i="6"/>
  <c r="E146" i="6" s="1"/>
  <c r="H138" i="46" l="1"/>
  <c r="I138" i="46"/>
  <c r="G137" i="47"/>
  <c r="D138" i="47"/>
  <c r="E138" i="47" s="1"/>
  <c r="B139" i="46"/>
  <c r="F139" i="46"/>
  <c r="G138" i="45"/>
  <c r="E139" i="45"/>
  <c r="D139" i="45"/>
  <c r="D141" i="42"/>
  <c r="B141" i="42" s="1"/>
  <c r="G140" i="42"/>
  <c r="I140" i="42" s="1"/>
  <c r="I140" i="38"/>
  <c r="E145" i="44"/>
  <c r="F145" i="44" s="1"/>
  <c r="B145" i="44"/>
  <c r="H144" i="44"/>
  <c r="I144" i="44"/>
  <c r="D142" i="38"/>
  <c r="B142" i="38" s="1"/>
  <c r="G141" i="41"/>
  <c r="D142" i="41"/>
  <c r="B142" i="41" s="1"/>
  <c r="I141" i="38"/>
  <c r="H141" i="38"/>
  <c r="H140" i="42"/>
  <c r="B146" i="6"/>
  <c r="F146" i="6"/>
  <c r="H144" i="4"/>
  <c r="I144" i="4"/>
  <c r="B137" i="37"/>
  <c r="F137" i="37"/>
  <c r="B140" i="29"/>
  <c r="F140" i="29"/>
  <c r="B141" i="27"/>
  <c r="F141" i="27"/>
  <c r="B147" i="11"/>
  <c r="F147" i="11"/>
  <c r="H136" i="39"/>
  <c r="I136" i="39"/>
  <c r="B148" i="10"/>
  <c r="F148" i="10"/>
  <c r="B140" i="31"/>
  <c r="F140" i="31"/>
  <c r="I146" i="11"/>
  <c r="H146" i="11"/>
  <c r="B146" i="8"/>
  <c r="F146" i="8"/>
  <c r="B136" i="40"/>
  <c r="F136" i="40"/>
  <c r="B145" i="3"/>
  <c r="F145" i="3"/>
  <c r="B148" i="7"/>
  <c r="F148" i="7"/>
  <c r="B137" i="43"/>
  <c r="F137" i="43"/>
  <c r="H136" i="37"/>
  <c r="I136" i="37"/>
  <c r="H140" i="27"/>
  <c r="I140" i="27"/>
  <c r="B140" i="28"/>
  <c r="F140" i="28"/>
  <c r="H144" i="5"/>
  <c r="I144" i="5"/>
  <c r="H147" i="10"/>
  <c r="I147" i="10"/>
  <c r="H139" i="31"/>
  <c r="I139" i="31"/>
  <c r="B142" i="24"/>
  <c r="F142" i="24"/>
  <c r="H145" i="8"/>
  <c r="I145" i="8"/>
  <c r="B143" i="23"/>
  <c r="F143" i="23"/>
  <c r="H135" i="40"/>
  <c r="I135" i="40"/>
  <c r="B144" i="25"/>
  <c r="F144" i="25"/>
  <c r="B139" i="30"/>
  <c r="F139" i="30"/>
  <c r="H144" i="3"/>
  <c r="I144" i="3"/>
  <c r="H147" i="7"/>
  <c r="I147" i="7"/>
  <c r="B147" i="9"/>
  <c r="F147" i="9"/>
  <c r="H145" i="6"/>
  <c r="I145" i="6"/>
  <c r="B145" i="5"/>
  <c r="F145" i="5"/>
  <c r="B144" i="22"/>
  <c r="F144" i="22"/>
  <c r="I136" i="43"/>
  <c r="H136" i="43"/>
  <c r="B145" i="4"/>
  <c r="F145" i="4"/>
  <c r="I143" i="22"/>
  <c r="H143" i="22"/>
  <c r="H139" i="29"/>
  <c r="I139" i="29"/>
  <c r="H139" i="28"/>
  <c r="I139" i="28"/>
  <c r="B137" i="39"/>
  <c r="F137" i="39"/>
  <c r="H141" i="24"/>
  <c r="I141" i="24"/>
  <c r="I142" i="23"/>
  <c r="H142" i="23"/>
  <c r="H143" i="25"/>
  <c r="I143" i="25"/>
  <c r="I138" i="30"/>
  <c r="H138" i="30"/>
  <c r="I146" i="9"/>
  <c r="H146" i="9"/>
  <c r="F138" i="47" l="1"/>
  <c r="B138" i="47"/>
  <c r="D140" i="46"/>
  <c r="B140" i="46" s="1"/>
  <c r="E140" i="46"/>
  <c r="G139" i="46"/>
  <c r="I137" i="47"/>
  <c r="H137" i="47"/>
  <c r="B139" i="45"/>
  <c r="F139" i="45"/>
  <c r="E141" i="42"/>
  <c r="F141" i="42" s="1"/>
  <c r="D142" i="42" s="1"/>
  <c r="I138" i="45"/>
  <c r="H138" i="45"/>
  <c r="E142" i="38"/>
  <c r="F142" i="38" s="1"/>
  <c r="G142" i="38" s="1"/>
  <c r="D146" i="44"/>
  <c r="G145" i="44"/>
  <c r="E142" i="41"/>
  <c r="F142" i="41" s="1"/>
  <c r="G142" i="41" s="1"/>
  <c r="I141" i="41"/>
  <c r="H141" i="41"/>
  <c r="J144" i="4"/>
  <c r="J138" i="30"/>
  <c r="J139" i="28"/>
  <c r="D146" i="5"/>
  <c r="E146" i="5" s="1"/>
  <c r="G145" i="5"/>
  <c r="G147" i="9"/>
  <c r="D148" i="9"/>
  <c r="E148" i="9" s="1"/>
  <c r="J144" i="3"/>
  <c r="G144" i="25"/>
  <c r="D145" i="25"/>
  <c r="E145" i="25" s="1"/>
  <c r="G143" i="23"/>
  <c r="D144" i="23"/>
  <c r="E144" i="23" s="1"/>
  <c r="G142" i="24"/>
  <c r="D143" i="24"/>
  <c r="E143" i="24" s="1"/>
  <c r="J147" i="10"/>
  <c r="G140" i="28"/>
  <c r="D141" i="28"/>
  <c r="E141" i="28" s="1"/>
  <c r="G148" i="7"/>
  <c r="D149" i="7"/>
  <c r="E149" i="7" s="1"/>
  <c r="G136" i="40"/>
  <c r="D137" i="40"/>
  <c r="E137" i="40" s="1"/>
  <c r="G148" i="10"/>
  <c r="D149" i="10"/>
  <c r="E149" i="10" s="1"/>
  <c r="D148" i="11"/>
  <c r="E148" i="11" s="1"/>
  <c r="G147" i="11"/>
  <c r="G140" i="29"/>
  <c r="D141" i="29"/>
  <c r="E141" i="29" s="1"/>
  <c r="G137" i="39"/>
  <c r="D138" i="39"/>
  <c r="E138" i="39" s="1"/>
  <c r="J139" i="29"/>
  <c r="G145" i="4"/>
  <c r="D146" i="4"/>
  <c r="E146" i="4" s="1"/>
  <c r="G144" i="22"/>
  <c r="D145" i="22"/>
  <c r="E145" i="22" s="1"/>
  <c r="J145" i="6"/>
  <c r="J147" i="7"/>
  <c r="G139" i="30"/>
  <c r="D140" i="30"/>
  <c r="E140" i="30" s="1"/>
  <c r="J145" i="8"/>
  <c r="J139" i="31"/>
  <c r="J144" i="5"/>
  <c r="J140" i="27"/>
  <c r="G137" i="43"/>
  <c r="D138" i="43"/>
  <c r="E138" i="43" s="1"/>
  <c r="G145" i="3"/>
  <c r="D146" i="3"/>
  <c r="E146" i="3" s="1"/>
  <c r="G146" i="8"/>
  <c r="D147" i="8"/>
  <c r="E147" i="8" s="1"/>
  <c r="G140" i="31"/>
  <c r="D141" i="31"/>
  <c r="E141" i="31" s="1"/>
  <c r="G141" i="27"/>
  <c r="D142" i="27"/>
  <c r="E142" i="27" s="1"/>
  <c r="G137" i="37"/>
  <c r="D138" i="37"/>
  <c r="E138" i="37" s="1"/>
  <c r="G146" i="6"/>
  <c r="D147" i="6"/>
  <c r="E147" i="6" s="1"/>
  <c r="F140" i="46" l="1"/>
  <c r="G140" i="46"/>
  <c r="D141" i="46"/>
  <c r="B141" i="46" s="1"/>
  <c r="I139" i="46"/>
  <c r="H139" i="46"/>
  <c r="G138" i="47"/>
  <c r="D139" i="47"/>
  <c r="E139" i="47" s="1"/>
  <c r="G141" i="42"/>
  <c r="I141" i="42" s="1"/>
  <c r="G139" i="45"/>
  <c r="D140" i="45"/>
  <c r="D143" i="38"/>
  <c r="B143" i="38" s="1"/>
  <c r="I145" i="44"/>
  <c r="H145" i="44"/>
  <c r="E146" i="44"/>
  <c r="F146" i="44" s="1"/>
  <c r="B146" i="44"/>
  <c r="D143" i="41"/>
  <c r="B143" i="41" s="1"/>
  <c r="E142" i="42"/>
  <c r="F142" i="42" s="1"/>
  <c r="B142" i="42"/>
  <c r="H142" i="38"/>
  <c r="I142" i="38"/>
  <c r="H142" i="41"/>
  <c r="I142" i="41"/>
  <c r="H146" i="6"/>
  <c r="I146" i="6"/>
  <c r="B146" i="4"/>
  <c r="F146" i="4"/>
  <c r="B138" i="43"/>
  <c r="F138" i="43"/>
  <c r="H139" i="30"/>
  <c r="I139" i="30"/>
  <c r="H145" i="4"/>
  <c r="I145" i="4"/>
  <c r="I137" i="39"/>
  <c r="H137" i="39"/>
  <c r="B138" i="37"/>
  <c r="F138" i="37"/>
  <c r="H141" i="27"/>
  <c r="I141" i="27"/>
  <c r="B146" i="3"/>
  <c r="F146" i="3"/>
  <c r="I137" i="43"/>
  <c r="H137" i="43"/>
  <c r="I144" i="22"/>
  <c r="H144" i="22"/>
  <c r="I147" i="11"/>
  <c r="H147" i="11"/>
  <c r="I148" i="10"/>
  <c r="H148" i="10"/>
  <c r="B141" i="28"/>
  <c r="F141" i="28"/>
  <c r="B143" i="24"/>
  <c r="F143" i="24"/>
  <c r="H143" i="23"/>
  <c r="I143" i="23"/>
  <c r="B141" i="31"/>
  <c r="F141" i="31"/>
  <c r="I146" i="8"/>
  <c r="H146" i="8"/>
  <c r="B142" i="27"/>
  <c r="F142" i="27"/>
  <c r="H140" i="31"/>
  <c r="I140" i="31"/>
  <c r="B147" i="6"/>
  <c r="F147" i="6"/>
  <c r="H137" i="37"/>
  <c r="I137" i="37"/>
  <c r="B147" i="8"/>
  <c r="F147" i="8"/>
  <c r="H145" i="3"/>
  <c r="I145" i="3"/>
  <c r="B141" i="29"/>
  <c r="F141" i="29"/>
  <c r="B148" i="11"/>
  <c r="F148" i="11"/>
  <c r="B149" i="7"/>
  <c r="F149" i="7"/>
  <c r="H140" i="28"/>
  <c r="I140" i="28"/>
  <c r="I142" i="24"/>
  <c r="H142" i="24"/>
  <c r="H145" i="5"/>
  <c r="I145" i="5"/>
  <c r="B140" i="30"/>
  <c r="F140" i="30"/>
  <c r="B138" i="39"/>
  <c r="F138" i="39"/>
  <c r="H140" i="29"/>
  <c r="I140" i="29"/>
  <c r="B137" i="40"/>
  <c r="F137" i="40"/>
  <c r="I148" i="7"/>
  <c r="H148" i="7"/>
  <c r="B145" i="25"/>
  <c r="F145" i="25"/>
  <c r="B148" i="9"/>
  <c r="F148" i="9"/>
  <c r="B146" i="5"/>
  <c r="F146" i="5"/>
  <c r="B145" i="22"/>
  <c r="F145" i="22"/>
  <c r="B149" i="10"/>
  <c r="F149" i="10"/>
  <c r="I136" i="40"/>
  <c r="H136" i="40"/>
  <c r="B144" i="23"/>
  <c r="F144" i="23"/>
  <c r="I144" i="25"/>
  <c r="H144" i="25"/>
  <c r="H147" i="9"/>
  <c r="I147" i="9"/>
  <c r="E141" i="46" l="1"/>
  <c r="F141" i="46" s="1"/>
  <c r="D142" i="46" s="1"/>
  <c r="B142" i="46" s="1"/>
  <c r="F139" i="47"/>
  <c r="B139" i="47"/>
  <c r="I138" i="47"/>
  <c r="H138" i="47"/>
  <c r="I140" i="46"/>
  <c r="H140" i="46"/>
  <c r="H141" i="42"/>
  <c r="E140" i="45"/>
  <c r="F140" i="45" s="1"/>
  <c r="B140" i="45"/>
  <c r="I139" i="45"/>
  <c r="H139" i="45"/>
  <c r="E143" i="38"/>
  <c r="F143" i="38" s="1"/>
  <c r="G143" i="38" s="1"/>
  <c r="E143" i="41"/>
  <c r="F143" i="41" s="1"/>
  <c r="D144" i="41" s="1"/>
  <c r="D147" i="44"/>
  <c r="G146" i="44"/>
  <c r="G142" i="42"/>
  <c r="D143" i="42"/>
  <c r="B143" i="42" s="1"/>
  <c r="J145" i="4"/>
  <c r="J146" i="6"/>
  <c r="J148" i="7"/>
  <c r="J146" i="8"/>
  <c r="G144" i="23"/>
  <c r="D145" i="23"/>
  <c r="E145" i="23" s="1"/>
  <c r="G149" i="10"/>
  <c r="D150" i="10"/>
  <c r="E150" i="10" s="1"/>
  <c r="G146" i="5"/>
  <c r="D147" i="5"/>
  <c r="E147" i="5" s="1"/>
  <c r="G145" i="25"/>
  <c r="D146" i="25"/>
  <c r="E146" i="25" s="1"/>
  <c r="G137" i="40"/>
  <c r="D138" i="40"/>
  <c r="E138" i="40" s="1"/>
  <c r="G138" i="39"/>
  <c r="D139" i="39"/>
  <c r="E139" i="39"/>
  <c r="J145" i="5"/>
  <c r="J140" i="28"/>
  <c r="G148" i="11"/>
  <c r="D149" i="11"/>
  <c r="E149" i="11" s="1"/>
  <c r="J145" i="3"/>
  <c r="J140" i="31"/>
  <c r="G141" i="28"/>
  <c r="D142" i="28"/>
  <c r="E142" i="28" s="1"/>
  <c r="J141" i="27"/>
  <c r="J139" i="30"/>
  <c r="G146" i="4"/>
  <c r="D147" i="4"/>
  <c r="E147" i="4" s="1"/>
  <c r="G145" i="22"/>
  <c r="D146" i="22"/>
  <c r="E146" i="22" s="1"/>
  <c r="G148" i="9"/>
  <c r="D149" i="9"/>
  <c r="E149" i="9" s="1"/>
  <c r="J140" i="29"/>
  <c r="G140" i="30"/>
  <c r="D141" i="30"/>
  <c r="E141" i="30" s="1"/>
  <c r="G149" i="7"/>
  <c r="D150" i="7"/>
  <c r="E150" i="7" s="1"/>
  <c r="G141" i="29"/>
  <c r="D142" i="29"/>
  <c r="E142" i="29" s="1"/>
  <c r="G147" i="8"/>
  <c r="D148" i="8"/>
  <c r="E148" i="8" s="1"/>
  <c r="G147" i="6"/>
  <c r="D148" i="6"/>
  <c r="E148" i="6" s="1"/>
  <c r="G142" i="27"/>
  <c r="D143" i="27"/>
  <c r="E143" i="27" s="1"/>
  <c r="G141" i="31"/>
  <c r="D142" i="31"/>
  <c r="E142" i="31" s="1"/>
  <c r="G143" i="24"/>
  <c r="D144" i="24"/>
  <c r="E144" i="24" s="1"/>
  <c r="G146" i="3"/>
  <c r="D147" i="3"/>
  <c r="G138" i="37"/>
  <c r="D139" i="37"/>
  <c r="E139" i="37" s="1"/>
  <c r="G138" i="43"/>
  <c r="D139" i="43"/>
  <c r="E139" i="43"/>
  <c r="J148" i="10"/>
  <c r="G141" i="46" l="1"/>
  <c r="E142" i="46"/>
  <c r="F142" i="46" s="1"/>
  <c r="I141" i="46"/>
  <c r="H141" i="46"/>
  <c r="G139" i="47"/>
  <c r="D140" i="47"/>
  <c r="E140" i="47" s="1"/>
  <c r="G140" i="45"/>
  <c r="D141" i="45"/>
  <c r="B141" i="45" s="1"/>
  <c r="D144" i="38"/>
  <c r="B144" i="38" s="1"/>
  <c r="G143" i="41"/>
  <c r="I143" i="41" s="1"/>
  <c r="I146" i="44"/>
  <c r="H146" i="44"/>
  <c r="E147" i="44"/>
  <c r="F147" i="44" s="1"/>
  <c r="B147" i="44"/>
  <c r="E143" i="42"/>
  <c r="F143" i="42" s="1"/>
  <c r="D144" i="42" s="1"/>
  <c r="H143" i="38"/>
  <c r="I143" i="38"/>
  <c r="E144" i="41"/>
  <c r="F144" i="41" s="1"/>
  <c r="B144" i="41"/>
  <c r="I142" i="42"/>
  <c r="H142" i="42"/>
  <c r="B147" i="3"/>
  <c r="B143" i="27"/>
  <c r="F143" i="27"/>
  <c r="H147" i="6"/>
  <c r="I147" i="6"/>
  <c r="B139" i="43"/>
  <c r="F139" i="43"/>
  <c r="I138" i="37"/>
  <c r="H138" i="37"/>
  <c r="B142" i="31"/>
  <c r="F142" i="31"/>
  <c r="H142" i="27"/>
  <c r="I142" i="27"/>
  <c r="B142" i="29"/>
  <c r="F142" i="29"/>
  <c r="H149" i="7"/>
  <c r="I149" i="7"/>
  <c r="B147" i="4"/>
  <c r="F147" i="4"/>
  <c r="I138" i="39"/>
  <c r="H138" i="39"/>
  <c r="B147" i="5"/>
  <c r="F147" i="5"/>
  <c r="H149" i="10"/>
  <c r="I149" i="10"/>
  <c r="B139" i="37"/>
  <c r="F139" i="37"/>
  <c r="H146" i="3"/>
  <c r="I146" i="3"/>
  <c r="I138" i="43"/>
  <c r="H138" i="43"/>
  <c r="E147" i="3"/>
  <c r="F147" i="3" s="1"/>
  <c r="B144" i="24"/>
  <c r="F144" i="24"/>
  <c r="H141" i="31"/>
  <c r="I141" i="31"/>
  <c r="B148" i="8"/>
  <c r="F148" i="8"/>
  <c r="H141" i="29"/>
  <c r="I141" i="29"/>
  <c r="B146" i="22"/>
  <c r="F146" i="22"/>
  <c r="H146" i="4"/>
  <c r="I146" i="4"/>
  <c r="F142" i="28"/>
  <c r="B142" i="28"/>
  <c r="B146" i="25"/>
  <c r="F146" i="25"/>
  <c r="I146" i="5"/>
  <c r="H146" i="5"/>
  <c r="B148" i="6"/>
  <c r="F148" i="6"/>
  <c r="H147" i="8"/>
  <c r="I147" i="8"/>
  <c r="B141" i="30"/>
  <c r="F141" i="30"/>
  <c r="B149" i="9"/>
  <c r="F149" i="9"/>
  <c r="H145" i="22"/>
  <c r="I145" i="22"/>
  <c r="H141" i="28"/>
  <c r="I141" i="28"/>
  <c r="B149" i="11"/>
  <c r="F149" i="11"/>
  <c r="B138" i="40"/>
  <c r="F138" i="40"/>
  <c r="I145" i="25"/>
  <c r="H145" i="25"/>
  <c r="B145" i="23"/>
  <c r="F145" i="23"/>
  <c r="H143" i="24"/>
  <c r="I143" i="24"/>
  <c r="B150" i="7"/>
  <c r="F150" i="7"/>
  <c r="I140" i="30"/>
  <c r="H140" i="30"/>
  <c r="I148" i="9"/>
  <c r="H148" i="9"/>
  <c r="I148" i="11"/>
  <c r="H148" i="11"/>
  <c r="B139" i="39"/>
  <c r="F139" i="39"/>
  <c r="H137" i="40"/>
  <c r="I137" i="40"/>
  <c r="B150" i="10"/>
  <c r="F150" i="10"/>
  <c r="I144" i="23"/>
  <c r="H144" i="23"/>
  <c r="H139" i="47" l="1"/>
  <c r="I139" i="47"/>
  <c r="F140" i="47"/>
  <c r="B140" i="47"/>
  <c r="G142" i="46"/>
  <c r="D143" i="46"/>
  <c r="B143" i="46" s="1"/>
  <c r="H143" i="41"/>
  <c r="E141" i="45"/>
  <c r="F141" i="45" s="1"/>
  <c r="G141" i="45" s="1"/>
  <c r="E144" i="38"/>
  <c r="F144" i="38" s="1"/>
  <c r="D145" i="38" s="1"/>
  <c r="B145" i="38" s="1"/>
  <c r="H140" i="45"/>
  <c r="I140" i="45"/>
  <c r="D148" i="44"/>
  <c r="G147" i="44"/>
  <c r="G143" i="42"/>
  <c r="I143" i="42" s="1"/>
  <c r="J146" i="4"/>
  <c r="J141" i="29"/>
  <c r="J141" i="31"/>
  <c r="E144" i="42"/>
  <c r="F144" i="42" s="1"/>
  <c r="B144" i="42"/>
  <c r="D145" i="41"/>
  <c r="G144" i="41"/>
  <c r="J146" i="5"/>
  <c r="J146" i="3"/>
  <c r="J149" i="10"/>
  <c r="J149" i="7"/>
  <c r="D148" i="3"/>
  <c r="E148" i="3" s="1"/>
  <c r="G147" i="3"/>
  <c r="D150" i="11"/>
  <c r="G149" i="11"/>
  <c r="G141" i="30"/>
  <c r="D142" i="30"/>
  <c r="E142" i="30" s="1"/>
  <c r="G146" i="25"/>
  <c r="D147" i="25"/>
  <c r="E147" i="25" s="1"/>
  <c r="J140" i="30"/>
  <c r="G139" i="37"/>
  <c r="D140" i="37"/>
  <c r="E140" i="37" s="1"/>
  <c r="G147" i="5"/>
  <c r="D148" i="5"/>
  <c r="E148" i="5" s="1"/>
  <c r="G147" i="4"/>
  <c r="D148" i="4"/>
  <c r="E148" i="4" s="1"/>
  <c r="G142" i="29"/>
  <c r="D143" i="29"/>
  <c r="E143" i="29" s="1"/>
  <c r="G142" i="31"/>
  <c r="D143" i="31"/>
  <c r="E143" i="31" s="1"/>
  <c r="G139" i="43"/>
  <c r="D140" i="43"/>
  <c r="E140" i="43" s="1"/>
  <c r="G143" i="27"/>
  <c r="D144" i="27"/>
  <c r="E144" i="27" s="1"/>
  <c r="G142" i="28"/>
  <c r="D143" i="28"/>
  <c r="E143" i="28" s="1"/>
  <c r="G148" i="6"/>
  <c r="D149" i="6"/>
  <c r="E149" i="6" s="1"/>
  <c r="G150" i="10"/>
  <c r="D151" i="10"/>
  <c r="E151" i="10" s="1"/>
  <c r="G139" i="39"/>
  <c r="D140" i="39"/>
  <c r="E140" i="39" s="1"/>
  <c r="G150" i="7"/>
  <c r="D151" i="7"/>
  <c r="G145" i="23"/>
  <c r="D146" i="23"/>
  <c r="E146" i="23" s="1"/>
  <c r="G138" i="40"/>
  <c r="D139" i="40"/>
  <c r="E139" i="40" s="1"/>
  <c r="J141" i="28"/>
  <c r="G149" i="9"/>
  <c r="D150" i="9"/>
  <c r="E150" i="9" s="1"/>
  <c r="J147" i="8"/>
  <c r="G146" i="22"/>
  <c r="D147" i="22"/>
  <c r="E147" i="22" s="1"/>
  <c r="G148" i="8"/>
  <c r="D149" i="8"/>
  <c r="E149" i="8" s="1"/>
  <c r="D145" i="24"/>
  <c r="E145" i="24" s="1"/>
  <c r="G144" i="24"/>
  <c r="J142" i="27"/>
  <c r="J147" i="6"/>
  <c r="E143" i="46" l="1"/>
  <c r="F143" i="46" s="1"/>
  <c r="D141" i="47"/>
  <c r="G140" i="47"/>
  <c r="I142" i="46"/>
  <c r="H142" i="46"/>
  <c r="D142" i="45"/>
  <c r="B142" i="45" s="1"/>
  <c r="G144" i="38"/>
  <c r="H144" i="38" s="1"/>
  <c r="E145" i="38"/>
  <c r="F145" i="38" s="1"/>
  <c r="D146" i="38" s="1"/>
  <c r="B146" i="38" s="1"/>
  <c r="H141" i="45"/>
  <c r="I141" i="45"/>
  <c r="H143" i="42"/>
  <c r="H147" i="44"/>
  <c r="I147" i="44"/>
  <c r="E148" i="44"/>
  <c r="F148" i="44" s="1"/>
  <c r="B148" i="44"/>
  <c r="G144" i="42"/>
  <c r="D145" i="42"/>
  <c r="B145" i="42" s="1"/>
  <c r="H144" i="41"/>
  <c r="I144" i="41"/>
  <c r="E145" i="41"/>
  <c r="F145" i="41" s="1"/>
  <c r="B145" i="41"/>
  <c r="H144" i="24"/>
  <c r="I144" i="24"/>
  <c r="H148" i="8"/>
  <c r="I148" i="8"/>
  <c r="B151" i="7"/>
  <c r="H139" i="39"/>
  <c r="I139" i="39"/>
  <c r="B143" i="28"/>
  <c r="F143" i="28"/>
  <c r="H143" i="27"/>
  <c r="I143" i="27"/>
  <c r="B143" i="29"/>
  <c r="F143" i="29"/>
  <c r="H147" i="4"/>
  <c r="I147" i="4"/>
  <c r="B142" i="30"/>
  <c r="F142" i="30"/>
  <c r="B150" i="11"/>
  <c r="B145" i="24"/>
  <c r="F145" i="24"/>
  <c r="B146" i="23"/>
  <c r="F146" i="23"/>
  <c r="H150" i="7"/>
  <c r="I150" i="7"/>
  <c r="B149" i="6"/>
  <c r="F149" i="6"/>
  <c r="H142" i="28"/>
  <c r="I142" i="28"/>
  <c r="B143" i="31"/>
  <c r="F143" i="31"/>
  <c r="H142" i="29"/>
  <c r="I142" i="29"/>
  <c r="B140" i="37"/>
  <c r="F140" i="37"/>
  <c r="B147" i="25"/>
  <c r="F147" i="25"/>
  <c r="H141" i="30"/>
  <c r="I141" i="30"/>
  <c r="B147" i="22"/>
  <c r="F147" i="22"/>
  <c r="B150" i="9"/>
  <c r="F150" i="9"/>
  <c r="B139" i="40"/>
  <c r="F139" i="40"/>
  <c r="I145" i="23"/>
  <c r="H145" i="23"/>
  <c r="B151" i="10"/>
  <c r="F151" i="10"/>
  <c r="H148" i="6"/>
  <c r="I148" i="6"/>
  <c r="B140" i="43"/>
  <c r="F140" i="43"/>
  <c r="H142" i="31"/>
  <c r="I142" i="31"/>
  <c r="B148" i="5"/>
  <c r="F148" i="5"/>
  <c r="H139" i="37"/>
  <c r="I139" i="37"/>
  <c r="I146" i="25"/>
  <c r="H146" i="25"/>
  <c r="E150" i="11"/>
  <c r="F150" i="11" s="1"/>
  <c r="H147" i="3"/>
  <c r="I147" i="3"/>
  <c r="B149" i="8"/>
  <c r="F149" i="8"/>
  <c r="H146" i="22"/>
  <c r="I146" i="22"/>
  <c r="H149" i="9"/>
  <c r="I149" i="9"/>
  <c r="I138" i="40"/>
  <c r="H138" i="40"/>
  <c r="E151" i="7"/>
  <c r="F151" i="7" s="1"/>
  <c r="B140" i="39"/>
  <c r="F140" i="39"/>
  <c r="H150" i="10"/>
  <c r="I150" i="10"/>
  <c r="B144" i="27"/>
  <c r="F144" i="27"/>
  <c r="I139" i="43"/>
  <c r="H139" i="43"/>
  <c r="B148" i="4"/>
  <c r="F148" i="4"/>
  <c r="H147" i="5"/>
  <c r="I147" i="5"/>
  <c r="I149" i="11"/>
  <c r="H149" i="11"/>
  <c r="B148" i="3"/>
  <c r="F148" i="3"/>
  <c r="I140" i="47" l="1"/>
  <c r="H140" i="47"/>
  <c r="E141" i="47"/>
  <c r="F141" i="47" s="1"/>
  <c r="B141" i="47"/>
  <c r="G143" i="46"/>
  <c r="D144" i="46"/>
  <c r="B144" i="46" s="1"/>
  <c r="I144" i="38"/>
  <c r="E142" i="45"/>
  <c r="F142" i="45" s="1"/>
  <c r="G142" i="45" s="1"/>
  <c r="G145" i="38"/>
  <c r="H145" i="38" s="1"/>
  <c r="E146" i="38"/>
  <c r="F146" i="38" s="1"/>
  <c r="D147" i="38" s="1"/>
  <c r="B147" i="38" s="1"/>
  <c r="D149" i="44"/>
  <c r="G148" i="44"/>
  <c r="E145" i="42"/>
  <c r="F145" i="42" s="1"/>
  <c r="G145" i="42" s="1"/>
  <c r="J147" i="3"/>
  <c r="G145" i="41"/>
  <c r="D146" i="41"/>
  <c r="H144" i="42"/>
  <c r="I144" i="42"/>
  <c r="J147" i="4"/>
  <c r="J143" i="27"/>
  <c r="J148" i="8"/>
  <c r="J142" i="31"/>
  <c r="J148" i="6"/>
  <c r="J141" i="30"/>
  <c r="G151" i="7"/>
  <c r="D152" i="7"/>
  <c r="E152" i="7" s="1"/>
  <c r="D151" i="11"/>
  <c r="E151" i="11" s="1"/>
  <c r="G150" i="11"/>
  <c r="G148" i="4"/>
  <c r="D149" i="4"/>
  <c r="G144" i="27"/>
  <c r="D145" i="27"/>
  <c r="E145" i="27" s="1"/>
  <c r="G140" i="39"/>
  <c r="D141" i="39"/>
  <c r="E141" i="39" s="1"/>
  <c r="G150" i="9"/>
  <c r="D151" i="9"/>
  <c r="E151" i="9" s="1"/>
  <c r="G140" i="37"/>
  <c r="D141" i="37"/>
  <c r="E141" i="37" s="1"/>
  <c r="G143" i="31"/>
  <c r="D144" i="31"/>
  <c r="E144" i="31" s="1"/>
  <c r="G149" i="6"/>
  <c r="D150" i="6"/>
  <c r="E150" i="6" s="1"/>
  <c r="G146" i="23"/>
  <c r="D147" i="23"/>
  <c r="E147" i="23" s="1"/>
  <c r="G149" i="8"/>
  <c r="D150" i="8"/>
  <c r="G148" i="3"/>
  <c r="D149" i="3"/>
  <c r="E149" i="3" s="1"/>
  <c r="J147" i="5"/>
  <c r="J150" i="10"/>
  <c r="G148" i="5"/>
  <c r="D149" i="5"/>
  <c r="G140" i="43"/>
  <c r="D141" i="43"/>
  <c r="E141" i="43" s="1"/>
  <c r="G151" i="10"/>
  <c r="D152" i="10"/>
  <c r="E152" i="10" s="1"/>
  <c r="G139" i="40"/>
  <c r="D140" i="40"/>
  <c r="E140" i="40" s="1"/>
  <c r="G147" i="22"/>
  <c r="D148" i="22"/>
  <c r="G147" i="25"/>
  <c r="D148" i="25"/>
  <c r="E148" i="25" s="1"/>
  <c r="J142" i="29"/>
  <c r="J142" i="28"/>
  <c r="J150" i="7"/>
  <c r="G145" i="24"/>
  <c r="D146" i="24"/>
  <c r="E146" i="24" s="1"/>
  <c r="G142" i="30"/>
  <c r="D143" i="30"/>
  <c r="E143" i="30" s="1"/>
  <c r="G143" i="29"/>
  <c r="D144" i="29"/>
  <c r="E144" i="29" s="1"/>
  <c r="D144" i="28"/>
  <c r="E144" i="28" s="1"/>
  <c r="G143" i="28"/>
  <c r="E144" i="46" l="1"/>
  <c r="F144" i="46" s="1"/>
  <c r="D145" i="46"/>
  <c r="B145" i="46" s="1"/>
  <c r="G144" i="46"/>
  <c r="D142" i="47"/>
  <c r="G141" i="47"/>
  <c r="H143" i="46"/>
  <c r="I143" i="46"/>
  <c r="I145" i="38"/>
  <c r="D143" i="45"/>
  <c r="B143" i="45" s="1"/>
  <c r="G146" i="38"/>
  <c r="H146" i="38" s="1"/>
  <c r="E147" i="38"/>
  <c r="F147" i="38" s="1"/>
  <c r="D148" i="38" s="1"/>
  <c r="H142" i="45"/>
  <c r="I142" i="45"/>
  <c r="I148" i="44"/>
  <c r="H148" i="44"/>
  <c r="D146" i="42"/>
  <c r="E146" i="42" s="1"/>
  <c r="F146" i="42" s="1"/>
  <c r="E149" i="44"/>
  <c r="F149" i="44" s="1"/>
  <c r="B149" i="44"/>
  <c r="E146" i="41"/>
  <c r="F146" i="41" s="1"/>
  <c r="B146" i="41"/>
  <c r="H145" i="41"/>
  <c r="I145" i="41"/>
  <c r="I145" i="42"/>
  <c r="H145" i="42"/>
  <c r="B143" i="30"/>
  <c r="F143" i="30"/>
  <c r="I145" i="24"/>
  <c r="H145" i="24"/>
  <c r="B148" i="22"/>
  <c r="I139" i="40"/>
  <c r="H139" i="40"/>
  <c r="B149" i="5"/>
  <c r="B150" i="8"/>
  <c r="I146" i="23"/>
  <c r="H146" i="23"/>
  <c r="B141" i="37"/>
  <c r="F141" i="37"/>
  <c r="I150" i="9"/>
  <c r="H150" i="9"/>
  <c r="B149" i="4"/>
  <c r="B151" i="11"/>
  <c r="F151" i="11"/>
  <c r="B149" i="3"/>
  <c r="F149" i="3"/>
  <c r="H149" i="8"/>
  <c r="I149" i="8"/>
  <c r="F144" i="31"/>
  <c r="B144" i="31"/>
  <c r="H140" i="37"/>
  <c r="I140" i="37"/>
  <c r="B145" i="27"/>
  <c r="F145" i="27"/>
  <c r="H148" i="4"/>
  <c r="I148" i="4"/>
  <c r="B144" i="29"/>
  <c r="F144" i="29"/>
  <c r="I142" i="30"/>
  <c r="H142" i="30"/>
  <c r="I147" i="22"/>
  <c r="H147" i="22"/>
  <c r="B141" i="43"/>
  <c r="F141" i="43"/>
  <c r="H148" i="5"/>
  <c r="I148" i="5"/>
  <c r="H143" i="28"/>
  <c r="I143" i="28"/>
  <c r="H143" i="29"/>
  <c r="I143" i="29"/>
  <c r="I147" i="25"/>
  <c r="H147" i="25"/>
  <c r="B152" i="10"/>
  <c r="F152" i="10"/>
  <c r="H140" i="43"/>
  <c r="I140" i="43"/>
  <c r="I148" i="3"/>
  <c r="H148" i="3"/>
  <c r="B150" i="6"/>
  <c r="F150" i="6"/>
  <c r="I143" i="31"/>
  <c r="H143" i="31"/>
  <c r="B141" i="39"/>
  <c r="F141" i="39"/>
  <c r="I144" i="27"/>
  <c r="H144" i="27"/>
  <c r="B152" i="7"/>
  <c r="F152" i="7"/>
  <c r="B148" i="25"/>
  <c r="F148" i="25"/>
  <c r="B144" i="28"/>
  <c r="F144" i="28"/>
  <c r="B146" i="24"/>
  <c r="F146" i="24"/>
  <c r="E148" i="22"/>
  <c r="F148" i="22" s="1"/>
  <c r="B140" i="40"/>
  <c r="F140" i="40"/>
  <c r="I151" i="10"/>
  <c r="H151" i="10"/>
  <c r="E149" i="5"/>
  <c r="F149" i="5" s="1"/>
  <c r="E150" i="8"/>
  <c r="F150" i="8" s="1"/>
  <c r="B147" i="23"/>
  <c r="F147" i="23"/>
  <c r="I149" i="6"/>
  <c r="H149" i="6"/>
  <c r="B151" i="9"/>
  <c r="F151" i="9"/>
  <c r="I140" i="39"/>
  <c r="H140" i="39"/>
  <c r="E149" i="4"/>
  <c r="F149" i="4" s="1"/>
  <c r="H150" i="11"/>
  <c r="I150" i="11"/>
  <c r="I151" i="7"/>
  <c r="H151" i="7"/>
  <c r="E142" i="47" l="1"/>
  <c r="F142" i="47" s="1"/>
  <c r="B142" i="47"/>
  <c r="I144" i="46"/>
  <c r="H144" i="46"/>
  <c r="E145" i="46"/>
  <c r="F145" i="46" s="1"/>
  <c r="H141" i="47"/>
  <c r="I141" i="47"/>
  <c r="E143" i="45"/>
  <c r="F143" i="45" s="1"/>
  <c r="G147" i="38"/>
  <c r="I147" i="38" s="1"/>
  <c r="I146" i="38"/>
  <c r="D150" i="44"/>
  <c r="B150" i="44" s="1"/>
  <c r="G149" i="44"/>
  <c r="B146" i="42"/>
  <c r="D147" i="42"/>
  <c r="G146" i="42"/>
  <c r="D147" i="41"/>
  <c r="G146" i="41"/>
  <c r="E148" i="38"/>
  <c r="F148" i="38" s="1"/>
  <c r="B148" i="38"/>
  <c r="J142" i="30"/>
  <c r="J151" i="7"/>
  <c r="J144" i="27"/>
  <c r="J143" i="31"/>
  <c r="J148" i="3"/>
  <c r="G148" i="22"/>
  <c r="D149" i="22"/>
  <c r="E149" i="22" s="1"/>
  <c r="G149" i="4"/>
  <c r="D150" i="4"/>
  <c r="E150" i="4" s="1"/>
  <c r="G150" i="8"/>
  <c r="D151" i="8"/>
  <c r="G149" i="5"/>
  <c r="D150" i="5"/>
  <c r="E150" i="5" s="1"/>
  <c r="J151" i="10"/>
  <c r="G146" i="24"/>
  <c r="D147" i="24"/>
  <c r="E147" i="24" s="1"/>
  <c r="G148" i="25"/>
  <c r="D149" i="25"/>
  <c r="E149" i="25" s="1"/>
  <c r="G152" i="10"/>
  <c r="D153" i="10"/>
  <c r="E153" i="10" s="1"/>
  <c r="J143" i="29"/>
  <c r="J148" i="5"/>
  <c r="G144" i="29"/>
  <c r="D145" i="29"/>
  <c r="E145" i="29" s="1"/>
  <c r="G145" i="27"/>
  <c r="D146" i="27"/>
  <c r="E146" i="27" s="1"/>
  <c r="G149" i="3"/>
  <c r="D150" i="3"/>
  <c r="G141" i="37"/>
  <c r="D142" i="37"/>
  <c r="E142" i="37" s="1"/>
  <c r="G144" i="31"/>
  <c r="D145" i="31"/>
  <c r="E145" i="31" s="1"/>
  <c r="G140" i="40"/>
  <c r="D141" i="40"/>
  <c r="E141" i="40" s="1"/>
  <c r="J149" i="6"/>
  <c r="G144" i="28"/>
  <c r="D145" i="28"/>
  <c r="E145" i="28" s="1"/>
  <c r="D153" i="7"/>
  <c r="G152" i="7"/>
  <c r="G141" i="39"/>
  <c r="D142" i="39"/>
  <c r="E142" i="39" s="1"/>
  <c r="G150" i="6"/>
  <c r="D151" i="6"/>
  <c r="E151" i="6" s="1"/>
  <c r="J143" i="28"/>
  <c r="G141" i="43"/>
  <c r="D142" i="43"/>
  <c r="E142" i="43" s="1"/>
  <c r="J148" i="4"/>
  <c r="J149" i="8"/>
  <c r="G151" i="11"/>
  <c r="D152" i="11"/>
  <c r="E152" i="11" s="1"/>
  <c r="G143" i="30"/>
  <c r="D144" i="30"/>
  <c r="E144" i="30" s="1"/>
  <c r="D152" i="9"/>
  <c r="E152" i="9" s="1"/>
  <c r="G151" i="9"/>
  <c r="G147" i="23"/>
  <c r="D148" i="23"/>
  <c r="H147" i="38" l="1"/>
  <c r="D143" i="47"/>
  <c r="G142" i="47"/>
  <c r="D146" i="46"/>
  <c r="B146" i="46" s="1"/>
  <c r="G145" i="46"/>
  <c r="G143" i="45"/>
  <c r="D144" i="45"/>
  <c r="B144" i="45" s="1"/>
  <c r="E150" i="44"/>
  <c r="F150" i="44" s="1"/>
  <c r="G150" i="44" s="1"/>
  <c r="I149" i="44"/>
  <c r="H149" i="44"/>
  <c r="E147" i="41"/>
  <c r="F147" i="41" s="1"/>
  <c r="B147" i="41"/>
  <c r="D149" i="38"/>
  <c r="G148" i="38"/>
  <c r="I146" i="42"/>
  <c r="H146" i="42"/>
  <c r="H146" i="41"/>
  <c r="I146" i="41"/>
  <c r="E147" i="42"/>
  <c r="F147" i="42" s="1"/>
  <c r="B147" i="42"/>
  <c r="H147" i="23"/>
  <c r="I147" i="23"/>
  <c r="B148" i="23"/>
  <c r="B152" i="9"/>
  <c r="F152" i="9"/>
  <c r="H152" i="7"/>
  <c r="I152" i="7"/>
  <c r="H144" i="28"/>
  <c r="I144" i="28"/>
  <c r="H140" i="40"/>
  <c r="I140" i="40"/>
  <c r="B150" i="3"/>
  <c r="H145" i="27"/>
  <c r="I145" i="27"/>
  <c r="I152" i="10"/>
  <c r="H152" i="10"/>
  <c r="B151" i="8"/>
  <c r="H149" i="4"/>
  <c r="I149" i="4"/>
  <c r="B152" i="11"/>
  <c r="F152" i="11"/>
  <c r="B142" i="39"/>
  <c r="F142" i="39"/>
  <c r="B153" i="7"/>
  <c r="B142" i="37"/>
  <c r="F142" i="37"/>
  <c r="H149" i="3"/>
  <c r="I149" i="3"/>
  <c r="B147" i="24"/>
  <c r="F147" i="24"/>
  <c r="B150" i="5"/>
  <c r="F150" i="5"/>
  <c r="I150" i="8"/>
  <c r="H150" i="8"/>
  <c r="B142" i="43"/>
  <c r="F142" i="43"/>
  <c r="B151" i="6"/>
  <c r="F151" i="6"/>
  <c r="H141" i="39"/>
  <c r="I141" i="39"/>
  <c r="B145" i="31"/>
  <c r="F145" i="31"/>
  <c r="I141" i="37"/>
  <c r="H141" i="37"/>
  <c r="B145" i="29"/>
  <c r="F145" i="29"/>
  <c r="B149" i="25"/>
  <c r="F149" i="25"/>
  <c r="H146" i="24"/>
  <c r="I146" i="24"/>
  <c r="H149" i="5"/>
  <c r="I149" i="5"/>
  <c r="B149" i="22"/>
  <c r="F149" i="22"/>
  <c r="B144" i="30"/>
  <c r="F144" i="30"/>
  <c r="I151" i="11"/>
  <c r="H151" i="11"/>
  <c r="E148" i="23"/>
  <c r="F148" i="23" s="1"/>
  <c r="I151" i="9"/>
  <c r="H151" i="9"/>
  <c r="H143" i="30"/>
  <c r="I143" i="30"/>
  <c r="I141" i="43"/>
  <c r="H141" i="43"/>
  <c r="H150" i="6"/>
  <c r="I150" i="6"/>
  <c r="E153" i="7"/>
  <c r="F153" i="7" s="1"/>
  <c r="B145" i="28"/>
  <c r="F145" i="28"/>
  <c r="B141" i="40"/>
  <c r="F141" i="40"/>
  <c r="I144" i="31"/>
  <c r="H144" i="31"/>
  <c r="E150" i="3"/>
  <c r="F150" i="3" s="1"/>
  <c r="B146" i="27"/>
  <c r="F146" i="27"/>
  <c r="H144" i="29"/>
  <c r="I144" i="29"/>
  <c r="B153" i="10"/>
  <c r="F153" i="10"/>
  <c r="I148" i="25"/>
  <c r="H148" i="25"/>
  <c r="E151" i="8"/>
  <c r="F151" i="8" s="1"/>
  <c r="B150" i="4"/>
  <c r="F150" i="4"/>
  <c r="I148" i="22"/>
  <c r="H148" i="22"/>
  <c r="I145" i="46" l="1"/>
  <c r="H145" i="46"/>
  <c r="H142" i="47"/>
  <c r="I142" i="47"/>
  <c r="E146" i="46"/>
  <c r="F146" i="46" s="1"/>
  <c r="E143" i="47"/>
  <c r="F143" i="47" s="1"/>
  <c r="B143" i="47"/>
  <c r="H143" i="45"/>
  <c r="I143" i="45"/>
  <c r="E144" i="45"/>
  <c r="F144" i="45" s="1"/>
  <c r="D151" i="44"/>
  <c r="E151" i="44" s="1"/>
  <c r="F151" i="44" s="1"/>
  <c r="H150" i="44"/>
  <c r="I150" i="44"/>
  <c r="J144" i="29"/>
  <c r="E149" i="38"/>
  <c r="F149" i="38" s="1"/>
  <c r="B149" i="38"/>
  <c r="G147" i="42"/>
  <c r="D148" i="42"/>
  <c r="G147" i="41"/>
  <c r="D148" i="41"/>
  <c r="B148" i="41" s="1"/>
  <c r="I148" i="38"/>
  <c r="H148" i="38"/>
  <c r="J150" i="6"/>
  <c r="J143" i="30"/>
  <c r="J145" i="27"/>
  <c r="J144" i="31"/>
  <c r="J152" i="10"/>
  <c r="J150" i="8"/>
  <c r="G151" i="8"/>
  <c r="D152" i="8"/>
  <c r="E152" i="8" s="1"/>
  <c r="G153" i="7"/>
  <c r="D154" i="7"/>
  <c r="E154" i="7" s="1"/>
  <c r="E155" i="7" s="1"/>
  <c r="G148" i="23"/>
  <c r="D149" i="23"/>
  <c r="D151" i="3"/>
  <c r="E151" i="3" s="1"/>
  <c r="G150" i="3"/>
  <c r="G153" i="10"/>
  <c r="D154" i="10"/>
  <c r="E154" i="10" s="1"/>
  <c r="E155" i="10" s="1"/>
  <c r="G141" i="40"/>
  <c r="D142" i="40"/>
  <c r="E142" i="40" s="1"/>
  <c r="G144" i="30"/>
  <c r="D145" i="30"/>
  <c r="E145" i="30" s="1"/>
  <c r="J149" i="5"/>
  <c r="G149" i="25"/>
  <c r="D150" i="25"/>
  <c r="G142" i="43"/>
  <c r="D143" i="43"/>
  <c r="E143" i="43" s="1"/>
  <c r="G150" i="5"/>
  <c r="D151" i="5"/>
  <c r="E151" i="5" s="1"/>
  <c r="J149" i="3"/>
  <c r="G152" i="11"/>
  <c r="D153" i="11"/>
  <c r="E153" i="11" s="1"/>
  <c r="J152" i="7"/>
  <c r="G150" i="4"/>
  <c r="D151" i="4"/>
  <c r="E151" i="4" s="1"/>
  <c r="G145" i="28"/>
  <c r="D146" i="28"/>
  <c r="E146" i="28" s="1"/>
  <c r="G149" i="22"/>
  <c r="D150" i="22"/>
  <c r="G145" i="29"/>
  <c r="D146" i="29"/>
  <c r="E146" i="29" s="1"/>
  <c r="G145" i="31"/>
  <c r="D146" i="31"/>
  <c r="E146" i="31" s="1"/>
  <c r="D152" i="6"/>
  <c r="E152" i="6" s="1"/>
  <c r="G151" i="6"/>
  <c r="G147" i="24"/>
  <c r="D148" i="24"/>
  <c r="G142" i="37"/>
  <c r="D143" i="37"/>
  <c r="E143" i="37" s="1"/>
  <c r="G142" i="39"/>
  <c r="D143" i="39"/>
  <c r="E143" i="39" s="1"/>
  <c r="J149" i="4"/>
  <c r="J144" i="28"/>
  <c r="D153" i="9"/>
  <c r="E153" i="9" s="1"/>
  <c r="G152" i="9"/>
  <c r="G146" i="27"/>
  <c r="D147" i="27"/>
  <c r="E147" i="27" s="1"/>
  <c r="G143" i="47" l="1"/>
  <c r="D144" i="47"/>
  <c r="B144" i="47" s="1"/>
  <c r="G146" i="46"/>
  <c r="D147" i="46"/>
  <c r="B147" i="46" s="1"/>
  <c r="G144" i="45"/>
  <c r="D145" i="45"/>
  <c r="B145" i="45" s="1"/>
  <c r="B151" i="44"/>
  <c r="G151" i="44"/>
  <c r="D152" i="44"/>
  <c r="E148" i="41"/>
  <c r="F148" i="41" s="1"/>
  <c r="G148" i="41" s="1"/>
  <c r="H147" i="41"/>
  <c r="I147" i="41"/>
  <c r="D150" i="38"/>
  <c r="G149" i="38"/>
  <c r="I147" i="42"/>
  <c r="H147" i="42"/>
  <c r="E148" i="42"/>
  <c r="F148" i="42" s="1"/>
  <c r="B148" i="42"/>
  <c r="B148" i="24"/>
  <c r="F152" i="6"/>
  <c r="B152" i="6"/>
  <c r="B150" i="22"/>
  <c r="H145" i="28"/>
  <c r="I145" i="28"/>
  <c r="B150" i="25"/>
  <c r="B145" i="30"/>
  <c r="F145" i="30"/>
  <c r="I141" i="40"/>
  <c r="H141" i="40"/>
  <c r="B149" i="23"/>
  <c r="I153" i="7"/>
  <c r="H153" i="7"/>
  <c r="B153" i="9"/>
  <c r="F153" i="9"/>
  <c r="H152" i="9"/>
  <c r="I152" i="9"/>
  <c r="B143" i="37"/>
  <c r="F143" i="37"/>
  <c r="H147" i="24"/>
  <c r="I147" i="24"/>
  <c r="B146" i="29"/>
  <c r="F146" i="29"/>
  <c r="H149" i="22"/>
  <c r="I149" i="22"/>
  <c r="B143" i="43"/>
  <c r="F143" i="43"/>
  <c r="H149" i="25"/>
  <c r="I149" i="25"/>
  <c r="H144" i="30"/>
  <c r="I144" i="30"/>
  <c r="H150" i="3"/>
  <c r="I150" i="3"/>
  <c r="H148" i="23"/>
  <c r="I148" i="23"/>
  <c r="B143" i="39"/>
  <c r="F143" i="39"/>
  <c r="I142" i="37"/>
  <c r="H142" i="37"/>
  <c r="B146" i="31"/>
  <c r="F146" i="31"/>
  <c r="H145" i="29"/>
  <c r="I145" i="29"/>
  <c r="B153" i="11"/>
  <c r="F153" i="11"/>
  <c r="B151" i="5"/>
  <c r="F151" i="5"/>
  <c r="I142" i="43"/>
  <c r="H142" i="43"/>
  <c r="B154" i="10"/>
  <c r="F154" i="10"/>
  <c r="G154" i="10" s="1"/>
  <c r="B151" i="3"/>
  <c r="F151" i="3"/>
  <c r="B152" i="8"/>
  <c r="F152" i="8"/>
  <c r="B147" i="27"/>
  <c r="F147" i="27"/>
  <c r="B151" i="4"/>
  <c r="F151" i="4"/>
  <c r="H146" i="27"/>
  <c r="I146" i="27"/>
  <c r="I142" i="39"/>
  <c r="H142" i="39"/>
  <c r="E148" i="24"/>
  <c r="F148" i="24" s="1"/>
  <c r="H151" i="6"/>
  <c r="I151" i="6"/>
  <c r="H145" i="31"/>
  <c r="I145" i="31"/>
  <c r="E150" i="22"/>
  <c r="F150" i="22" s="1"/>
  <c r="B146" i="28"/>
  <c r="F146" i="28"/>
  <c r="H150" i="4"/>
  <c r="I150" i="4"/>
  <c r="I152" i="11"/>
  <c r="H152" i="11"/>
  <c r="H150" i="5"/>
  <c r="I150" i="5"/>
  <c r="E150" i="25"/>
  <c r="F150" i="25" s="1"/>
  <c r="B142" i="40"/>
  <c r="F142" i="40"/>
  <c r="H153" i="10"/>
  <c r="I153" i="10"/>
  <c r="E149" i="23"/>
  <c r="F149" i="23" s="1"/>
  <c r="B154" i="7"/>
  <c r="F154" i="7"/>
  <c r="G154" i="7" s="1"/>
  <c r="H151" i="8"/>
  <c r="I151" i="8"/>
  <c r="E147" i="46" l="1"/>
  <c r="F147" i="46" s="1"/>
  <c r="H146" i="46"/>
  <c r="I146" i="46"/>
  <c r="E144" i="47"/>
  <c r="F144" i="47" s="1"/>
  <c r="G147" i="46"/>
  <c r="D148" i="46"/>
  <c r="B148" i="46" s="1"/>
  <c r="E145" i="45"/>
  <c r="F145" i="45" s="1"/>
  <c r="G145" i="45" s="1"/>
  <c r="H145" i="45" s="1"/>
  <c r="H143" i="47"/>
  <c r="I143" i="47"/>
  <c r="I144" i="45"/>
  <c r="H144" i="45"/>
  <c r="E152" i="44"/>
  <c r="F152" i="44" s="1"/>
  <c r="B152" i="44"/>
  <c r="H151" i="44"/>
  <c r="I151" i="44"/>
  <c r="D149" i="41"/>
  <c r="B149" i="41" s="1"/>
  <c r="H149" i="38"/>
  <c r="I149" i="38"/>
  <c r="G148" i="42"/>
  <c r="D149" i="42"/>
  <c r="E150" i="38"/>
  <c r="F150" i="38" s="1"/>
  <c r="B150" i="38"/>
  <c r="H148" i="41"/>
  <c r="I148" i="41"/>
  <c r="J151" i="6"/>
  <c r="J145" i="28"/>
  <c r="J153" i="10"/>
  <c r="J145" i="31"/>
  <c r="J153" i="7"/>
  <c r="G150" i="25"/>
  <c r="D151" i="25"/>
  <c r="E151" i="25" s="1"/>
  <c r="G149" i="23"/>
  <c r="D150" i="23"/>
  <c r="E150" i="23" s="1"/>
  <c r="G150" i="22"/>
  <c r="D151" i="22"/>
  <c r="E151" i="22" s="1"/>
  <c r="G148" i="24"/>
  <c r="D149" i="24"/>
  <c r="E149" i="24" s="1"/>
  <c r="J151" i="8"/>
  <c r="G146" i="28"/>
  <c r="D147" i="28"/>
  <c r="E147" i="28" s="1"/>
  <c r="G151" i="4"/>
  <c r="D152" i="4"/>
  <c r="E152" i="4" s="1"/>
  <c r="G152" i="8"/>
  <c r="D153" i="8"/>
  <c r="E153" i="8" s="1"/>
  <c r="H154" i="10"/>
  <c r="H155" i="10" s="1"/>
  <c r="I154" i="10"/>
  <c r="G151" i="5"/>
  <c r="D152" i="5"/>
  <c r="E152" i="5" s="1"/>
  <c r="J145" i="29"/>
  <c r="J144" i="30"/>
  <c r="G143" i="43"/>
  <c r="D144" i="43"/>
  <c r="E144" i="43" s="1"/>
  <c r="G146" i="29"/>
  <c r="D147" i="29"/>
  <c r="E147" i="29" s="1"/>
  <c r="G143" i="37"/>
  <c r="D144" i="37"/>
  <c r="E144" i="37" s="1"/>
  <c r="D154" i="9"/>
  <c r="G153" i="9"/>
  <c r="G145" i="30"/>
  <c r="D146" i="30"/>
  <c r="E146" i="30" s="1"/>
  <c r="D153" i="6"/>
  <c r="E153" i="6" s="1"/>
  <c r="G152" i="6"/>
  <c r="I154" i="7"/>
  <c r="H154" i="7"/>
  <c r="H155" i="7" s="1"/>
  <c r="J150" i="5"/>
  <c r="J150" i="4"/>
  <c r="J146" i="27"/>
  <c r="G147" i="27"/>
  <c r="D148" i="27"/>
  <c r="E148" i="27" s="1"/>
  <c r="G151" i="3"/>
  <c r="D152" i="3"/>
  <c r="E152" i="3" s="1"/>
  <c r="D154" i="11"/>
  <c r="E154" i="11" s="1"/>
  <c r="E155" i="11" s="1"/>
  <c r="G153" i="11"/>
  <c r="G146" i="31"/>
  <c r="D147" i="31"/>
  <c r="E147" i="31" s="1"/>
  <c r="G143" i="39"/>
  <c r="D144" i="39"/>
  <c r="E144" i="39" s="1"/>
  <c r="J150" i="3"/>
  <c r="G142" i="40"/>
  <c r="D143" i="40"/>
  <c r="E143" i="40" s="1"/>
  <c r="E148" i="46" l="1"/>
  <c r="F148" i="46" s="1"/>
  <c r="I145" i="45"/>
  <c r="I147" i="46"/>
  <c r="H147" i="46"/>
  <c r="G144" i="47"/>
  <c r="D145" i="47"/>
  <c r="D146" i="45"/>
  <c r="G148" i="46"/>
  <c r="D149" i="46"/>
  <c r="B149" i="46" s="1"/>
  <c r="G152" i="44"/>
  <c r="D153" i="44"/>
  <c r="E149" i="41"/>
  <c r="F149" i="41" s="1"/>
  <c r="G149" i="41" s="1"/>
  <c r="H149" i="41" s="1"/>
  <c r="D151" i="38"/>
  <c r="G150" i="38"/>
  <c r="E149" i="42"/>
  <c r="F149" i="42" s="1"/>
  <c r="B149" i="42"/>
  <c r="I148" i="42"/>
  <c r="H148" i="42"/>
  <c r="B143" i="40"/>
  <c r="F143" i="40"/>
  <c r="H142" i="40"/>
  <c r="I142" i="40"/>
  <c r="I153" i="11"/>
  <c r="H153" i="11"/>
  <c r="H151" i="3"/>
  <c r="I151" i="3"/>
  <c r="J154" i="7"/>
  <c r="J155" i="7" s="1"/>
  <c r="I155" i="7"/>
  <c r="I153" i="9"/>
  <c r="H153" i="9"/>
  <c r="H143" i="37"/>
  <c r="I143" i="37"/>
  <c r="J154" i="10"/>
  <c r="J155" i="10" s="1"/>
  <c r="I155" i="10"/>
  <c r="H152" i="8"/>
  <c r="I152" i="8"/>
  <c r="B151" i="22"/>
  <c r="F151" i="22"/>
  <c r="H149" i="23"/>
  <c r="I149" i="23"/>
  <c r="B146" i="30"/>
  <c r="F146" i="30"/>
  <c r="B154" i="9"/>
  <c r="B144" i="43"/>
  <c r="F144" i="43"/>
  <c r="B147" i="28"/>
  <c r="F147" i="28"/>
  <c r="B149" i="24"/>
  <c r="F149" i="24"/>
  <c r="I150" i="22"/>
  <c r="H150" i="22"/>
  <c r="B154" i="11"/>
  <c r="F154" i="11"/>
  <c r="G154" i="11" s="1"/>
  <c r="B148" i="27"/>
  <c r="F148" i="27"/>
  <c r="I152" i="6"/>
  <c r="H152" i="6"/>
  <c r="I145" i="30"/>
  <c r="H145" i="30"/>
  <c r="B147" i="29"/>
  <c r="F147" i="29"/>
  <c r="I143" i="43"/>
  <c r="H143" i="43"/>
  <c r="B152" i="5"/>
  <c r="F152" i="5"/>
  <c r="B152" i="4"/>
  <c r="F152" i="4"/>
  <c r="I146" i="28"/>
  <c r="H146" i="28"/>
  <c r="H148" i="24"/>
  <c r="I148" i="24"/>
  <c r="B151" i="25"/>
  <c r="F151" i="25"/>
  <c r="B147" i="31"/>
  <c r="F147" i="31"/>
  <c r="B144" i="39"/>
  <c r="F144" i="39"/>
  <c r="H146" i="31"/>
  <c r="I146" i="31"/>
  <c r="H143" i="39"/>
  <c r="I143" i="39"/>
  <c r="B152" i="3"/>
  <c r="F152" i="3"/>
  <c r="H147" i="27"/>
  <c r="I147" i="27"/>
  <c r="B153" i="6"/>
  <c r="F153" i="6"/>
  <c r="E154" i="9"/>
  <c r="E155" i="9" s="1"/>
  <c r="B144" i="37"/>
  <c r="F144" i="37"/>
  <c r="H146" i="29"/>
  <c r="I146" i="29"/>
  <c r="H151" i="5"/>
  <c r="I151" i="5"/>
  <c r="B153" i="8"/>
  <c r="F153" i="8"/>
  <c r="H151" i="4"/>
  <c r="I151" i="4"/>
  <c r="B150" i="23"/>
  <c r="F150" i="23"/>
  <c r="H150" i="25"/>
  <c r="I150" i="25"/>
  <c r="E149" i="46" l="1"/>
  <c r="F149" i="46" s="1"/>
  <c r="D150" i="46" s="1"/>
  <c r="G149" i="46"/>
  <c r="E145" i="47"/>
  <c r="F145" i="47" s="1"/>
  <c r="B145" i="47"/>
  <c r="H144" i="47"/>
  <c r="I144" i="47"/>
  <c r="H148" i="46"/>
  <c r="I148" i="46"/>
  <c r="B146" i="45"/>
  <c r="E146" i="45"/>
  <c r="F146" i="45" s="1"/>
  <c r="D150" i="41"/>
  <c r="B150" i="41" s="1"/>
  <c r="I149" i="41"/>
  <c r="E153" i="44"/>
  <c r="F153" i="44" s="1"/>
  <c r="B153" i="44"/>
  <c r="H152" i="44"/>
  <c r="I152" i="44"/>
  <c r="H150" i="38"/>
  <c r="I150" i="38"/>
  <c r="G149" i="42"/>
  <c r="D150" i="42"/>
  <c r="B150" i="42" s="1"/>
  <c r="E151" i="38"/>
  <c r="F151" i="38" s="1"/>
  <c r="B151" i="38"/>
  <c r="J151" i="3"/>
  <c r="J146" i="29"/>
  <c r="J146" i="28"/>
  <c r="J152" i="6"/>
  <c r="J152" i="8"/>
  <c r="J151" i="4"/>
  <c r="J151" i="5"/>
  <c r="J145" i="30"/>
  <c r="D154" i="8"/>
  <c r="E154" i="8" s="1"/>
  <c r="E155" i="8" s="1"/>
  <c r="G153" i="8"/>
  <c r="J147" i="27"/>
  <c r="G144" i="39"/>
  <c r="D145" i="39"/>
  <c r="E145" i="39" s="1"/>
  <c r="G151" i="25"/>
  <c r="D152" i="25"/>
  <c r="E152" i="25" s="1"/>
  <c r="G152" i="5"/>
  <c r="D153" i="5"/>
  <c r="E153" i="5" s="1"/>
  <c r="G147" i="29"/>
  <c r="D148" i="29"/>
  <c r="E148" i="29" s="1"/>
  <c r="H154" i="11"/>
  <c r="H155" i="11" s="1"/>
  <c r="I154" i="11"/>
  <c r="I155" i="11" s="1"/>
  <c r="G149" i="24"/>
  <c r="D150" i="24"/>
  <c r="E150" i="24" s="1"/>
  <c r="G144" i="43"/>
  <c r="D145" i="43"/>
  <c r="E145" i="43" s="1"/>
  <c r="G146" i="30"/>
  <c r="D147" i="30"/>
  <c r="E147" i="30" s="1"/>
  <c r="G151" i="22"/>
  <c r="D152" i="22"/>
  <c r="E152" i="22" s="1"/>
  <c r="D154" i="6"/>
  <c r="E154" i="6" s="1"/>
  <c r="E155" i="6" s="1"/>
  <c r="G153" i="6"/>
  <c r="G152" i="3"/>
  <c r="D153" i="3"/>
  <c r="E153" i="3" s="1"/>
  <c r="J146" i="31"/>
  <c r="G147" i="31"/>
  <c r="D148" i="31"/>
  <c r="E148" i="31" s="1"/>
  <c r="G152" i="4"/>
  <c r="D153" i="4"/>
  <c r="E153" i="4" s="1"/>
  <c r="G148" i="27"/>
  <c r="D149" i="27"/>
  <c r="E149" i="27" s="1"/>
  <c r="G147" i="28"/>
  <c r="D148" i="28"/>
  <c r="E148" i="28" s="1"/>
  <c r="F154" i="9"/>
  <c r="G154" i="9" s="1"/>
  <c r="G143" i="40"/>
  <c r="D144" i="40"/>
  <c r="E144" i="40" s="1"/>
  <c r="D151" i="23"/>
  <c r="E151" i="23" s="1"/>
  <c r="G150" i="23"/>
  <c r="G144" i="37"/>
  <c r="D145" i="37"/>
  <c r="E145" i="37" s="1"/>
  <c r="B150" i="46" l="1"/>
  <c r="E150" i="46"/>
  <c r="F150" i="46" s="1"/>
  <c r="G145" i="47"/>
  <c r="D146" i="47"/>
  <c r="D147" i="45"/>
  <c r="B147" i="45" s="1"/>
  <c r="G146" i="45"/>
  <c r="D151" i="46"/>
  <c r="B151" i="46" s="1"/>
  <c r="G150" i="46"/>
  <c r="H149" i="46"/>
  <c r="I149" i="46"/>
  <c r="D154" i="44"/>
  <c r="G153" i="44"/>
  <c r="E150" i="41"/>
  <c r="F150" i="41" s="1"/>
  <c r="E150" i="42"/>
  <c r="F150" i="42" s="1"/>
  <c r="D151" i="42" s="1"/>
  <c r="D152" i="38"/>
  <c r="G151" i="38"/>
  <c r="I149" i="42"/>
  <c r="H149" i="42"/>
  <c r="B144" i="40"/>
  <c r="F144" i="40"/>
  <c r="B148" i="28"/>
  <c r="F148" i="28"/>
  <c r="H148" i="27"/>
  <c r="I148" i="27"/>
  <c r="H153" i="6"/>
  <c r="I153" i="6"/>
  <c r="H151" i="22"/>
  <c r="I151" i="22"/>
  <c r="B150" i="24"/>
  <c r="F150" i="24"/>
  <c r="B153" i="5"/>
  <c r="F153" i="5"/>
  <c r="I151" i="25"/>
  <c r="H151" i="25"/>
  <c r="H150" i="23"/>
  <c r="I150" i="23"/>
  <c r="I143" i="40"/>
  <c r="H143" i="40"/>
  <c r="I147" i="28"/>
  <c r="H147" i="28"/>
  <c r="B148" i="31"/>
  <c r="F148" i="31"/>
  <c r="B153" i="3"/>
  <c r="F153" i="3"/>
  <c r="B154" i="6"/>
  <c r="F154" i="6"/>
  <c r="G154" i="6" s="1"/>
  <c r="B145" i="43"/>
  <c r="F145" i="43"/>
  <c r="H149" i="24"/>
  <c r="I149" i="24"/>
  <c r="B148" i="29"/>
  <c r="F148" i="29"/>
  <c r="H152" i="5"/>
  <c r="I152" i="5"/>
  <c r="B151" i="23"/>
  <c r="F151" i="23"/>
  <c r="H154" i="9"/>
  <c r="H155" i="9" s="1"/>
  <c r="I154" i="9"/>
  <c r="I155" i="9" s="1"/>
  <c r="B153" i="4"/>
  <c r="F153" i="4"/>
  <c r="H147" i="31"/>
  <c r="I147" i="31"/>
  <c r="H152" i="3"/>
  <c r="I152" i="3"/>
  <c r="B147" i="30"/>
  <c r="F147" i="30"/>
  <c r="H144" i="43"/>
  <c r="I144" i="43"/>
  <c r="H147" i="29"/>
  <c r="I147" i="29"/>
  <c r="B145" i="39"/>
  <c r="F145" i="39"/>
  <c r="H153" i="8"/>
  <c r="I153" i="8"/>
  <c r="B145" i="37"/>
  <c r="F145" i="37"/>
  <c r="H144" i="37"/>
  <c r="I144" i="37"/>
  <c r="B149" i="27"/>
  <c r="F149" i="27"/>
  <c r="H152" i="4"/>
  <c r="I152" i="4"/>
  <c r="B152" i="22"/>
  <c r="F152" i="22"/>
  <c r="H146" i="30"/>
  <c r="I146" i="30"/>
  <c r="B152" i="25"/>
  <c r="F152" i="25"/>
  <c r="H144" i="39"/>
  <c r="I144" i="39"/>
  <c r="B154" i="8"/>
  <c r="F154" i="8"/>
  <c r="G154" i="8" s="1"/>
  <c r="E151" i="46" l="1"/>
  <c r="F151" i="46" s="1"/>
  <c r="H146" i="45"/>
  <c r="I146" i="45"/>
  <c r="I150" i="46"/>
  <c r="H150" i="46"/>
  <c r="E146" i="47"/>
  <c r="F146" i="47" s="1"/>
  <c r="B146" i="47"/>
  <c r="E147" i="45"/>
  <c r="F147" i="45" s="1"/>
  <c r="H145" i="47"/>
  <c r="I145" i="47"/>
  <c r="G150" i="42"/>
  <c r="I150" i="42" s="1"/>
  <c r="D151" i="41"/>
  <c r="E151" i="41" s="1"/>
  <c r="G150" i="41"/>
  <c r="H153" i="44"/>
  <c r="I153" i="44"/>
  <c r="E154" i="44"/>
  <c r="E155" i="44" s="1"/>
  <c r="B154" i="44"/>
  <c r="E151" i="42"/>
  <c r="F151" i="42" s="1"/>
  <c r="B151" i="42"/>
  <c r="H151" i="38"/>
  <c r="I151" i="38"/>
  <c r="E152" i="38"/>
  <c r="F152" i="38" s="1"/>
  <c r="B152" i="38"/>
  <c r="J148" i="27"/>
  <c r="J146" i="30"/>
  <c r="J152" i="4"/>
  <c r="J153" i="8"/>
  <c r="J147" i="29"/>
  <c r="G147" i="30"/>
  <c r="D148" i="30"/>
  <c r="E148" i="30" s="1"/>
  <c r="J147" i="31"/>
  <c r="J152" i="5"/>
  <c r="H154" i="6"/>
  <c r="H155" i="6" s="1"/>
  <c r="I154" i="6"/>
  <c r="D149" i="31"/>
  <c r="E149" i="31" s="1"/>
  <c r="G148" i="31"/>
  <c r="G150" i="24"/>
  <c r="D151" i="24"/>
  <c r="E151" i="24" s="1"/>
  <c r="J153" i="6"/>
  <c r="G148" i="28"/>
  <c r="D149" i="28"/>
  <c r="E149" i="28" s="1"/>
  <c r="H154" i="8"/>
  <c r="H155" i="8" s="1"/>
  <c r="I154" i="8"/>
  <c r="G152" i="25"/>
  <c r="D153" i="25"/>
  <c r="E153" i="25" s="1"/>
  <c r="G152" i="22"/>
  <c r="D153" i="22"/>
  <c r="E153" i="22" s="1"/>
  <c r="D150" i="27"/>
  <c r="E150" i="27" s="1"/>
  <c r="G149" i="27"/>
  <c r="G145" i="37"/>
  <c r="D146" i="37"/>
  <c r="E146" i="37" s="1"/>
  <c r="G145" i="39"/>
  <c r="D146" i="39"/>
  <c r="E146" i="39" s="1"/>
  <c r="J152" i="3"/>
  <c r="G153" i="4"/>
  <c r="D154" i="4"/>
  <c r="E154" i="4" s="1"/>
  <c r="E155" i="4" s="1"/>
  <c r="G151" i="23"/>
  <c r="D152" i="23"/>
  <c r="E152" i="23" s="1"/>
  <c r="G148" i="29"/>
  <c r="D149" i="29"/>
  <c r="E149" i="29" s="1"/>
  <c r="G145" i="43"/>
  <c r="D146" i="43"/>
  <c r="E146" i="43" s="1"/>
  <c r="G153" i="3"/>
  <c r="D154" i="3"/>
  <c r="E154" i="3" s="1"/>
  <c r="E155" i="3" s="1"/>
  <c r="G153" i="5"/>
  <c r="D154" i="5"/>
  <c r="E154" i="5" s="1"/>
  <c r="E155" i="5" s="1"/>
  <c r="G144" i="40"/>
  <c r="D145" i="40"/>
  <c r="E145" i="40" s="1"/>
  <c r="J147" i="28"/>
  <c r="D147" i="47" l="1"/>
  <c r="G146" i="47"/>
  <c r="G147" i="45"/>
  <c r="D148" i="45"/>
  <c r="G151" i="46"/>
  <c r="D152" i="46"/>
  <c r="B152" i="46" s="1"/>
  <c r="H150" i="42"/>
  <c r="F154" i="44"/>
  <c r="G154" i="44" s="1"/>
  <c r="H154" i="44" s="1"/>
  <c r="H155" i="44" s="1"/>
  <c r="I150" i="41"/>
  <c r="H150" i="41"/>
  <c r="B151" i="41"/>
  <c r="F151" i="41"/>
  <c r="G151" i="42"/>
  <c r="D152" i="42"/>
  <c r="D153" i="38"/>
  <c r="B153" i="38" s="1"/>
  <c r="G152" i="38"/>
  <c r="B154" i="3"/>
  <c r="F154" i="3"/>
  <c r="G154" i="3" s="1"/>
  <c r="I145" i="43"/>
  <c r="H145" i="43"/>
  <c r="B154" i="4"/>
  <c r="F154" i="4"/>
  <c r="G154" i="4" s="1"/>
  <c r="B146" i="39"/>
  <c r="F146" i="39"/>
  <c r="H145" i="37"/>
  <c r="I145" i="37"/>
  <c r="B153" i="25"/>
  <c r="F153" i="25"/>
  <c r="H148" i="31"/>
  <c r="I148" i="31"/>
  <c r="H147" i="30"/>
  <c r="I147" i="30"/>
  <c r="H153" i="3"/>
  <c r="I153" i="3"/>
  <c r="F152" i="23"/>
  <c r="B152" i="23"/>
  <c r="H153" i="4"/>
  <c r="I153" i="4"/>
  <c r="H145" i="39"/>
  <c r="I145" i="39"/>
  <c r="B153" i="22"/>
  <c r="F153" i="22"/>
  <c r="H152" i="25"/>
  <c r="I152" i="25"/>
  <c r="B149" i="28"/>
  <c r="F149" i="28"/>
  <c r="B151" i="24"/>
  <c r="F151" i="24"/>
  <c r="B149" i="31"/>
  <c r="F149" i="31"/>
  <c r="I144" i="40"/>
  <c r="H144" i="40"/>
  <c r="B154" i="5"/>
  <c r="F154" i="5"/>
  <c r="G154" i="5" s="1"/>
  <c r="B145" i="40"/>
  <c r="F145" i="40"/>
  <c r="H153" i="5"/>
  <c r="I153" i="5"/>
  <c r="B149" i="29"/>
  <c r="F149" i="29"/>
  <c r="H151" i="23"/>
  <c r="I151" i="23"/>
  <c r="H149" i="27"/>
  <c r="I149" i="27"/>
  <c r="I152" i="22"/>
  <c r="H152" i="22"/>
  <c r="J154" i="8"/>
  <c r="J155" i="8" s="1"/>
  <c r="I155" i="8"/>
  <c r="I148" i="28"/>
  <c r="H148" i="28"/>
  <c r="I150" i="24"/>
  <c r="H150" i="24"/>
  <c r="J154" i="6"/>
  <c r="J155" i="6" s="1"/>
  <c r="I155" i="6"/>
  <c r="B146" i="43"/>
  <c r="F146" i="43"/>
  <c r="H148" i="29"/>
  <c r="I148" i="29"/>
  <c r="B146" i="37"/>
  <c r="F146" i="37"/>
  <c r="B150" i="27"/>
  <c r="F150" i="27"/>
  <c r="B148" i="30"/>
  <c r="F148" i="30"/>
  <c r="E152" i="46" l="1"/>
  <c r="F152" i="46" s="1"/>
  <c r="B148" i="45"/>
  <c r="E148" i="45"/>
  <c r="F148" i="45" s="1"/>
  <c r="G152" i="46"/>
  <c r="D153" i="46"/>
  <c r="B153" i="46" s="1"/>
  <c r="H147" i="45"/>
  <c r="I147" i="45"/>
  <c r="H146" i="47"/>
  <c r="I146" i="47"/>
  <c r="I151" i="46"/>
  <c r="H151" i="46"/>
  <c r="E147" i="47"/>
  <c r="F147" i="47" s="1"/>
  <c r="B147" i="47"/>
  <c r="I154" i="44"/>
  <c r="I155" i="44" s="1"/>
  <c r="D152" i="41"/>
  <c r="G151" i="41"/>
  <c r="E152" i="42"/>
  <c r="F152" i="42" s="1"/>
  <c r="B152" i="42"/>
  <c r="E153" i="38"/>
  <c r="F153" i="38" s="1"/>
  <c r="H151" i="42"/>
  <c r="I151" i="42"/>
  <c r="I152" i="38"/>
  <c r="H152" i="38"/>
  <c r="J153" i="4"/>
  <c r="J153" i="5"/>
  <c r="J153" i="3"/>
  <c r="J148" i="31"/>
  <c r="J148" i="29"/>
  <c r="D151" i="27"/>
  <c r="E151" i="27" s="1"/>
  <c r="G150" i="27"/>
  <c r="G148" i="30"/>
  <c r="D149" i="30"/>
  <c r="E149" i="30" s="1"/>
  <c r="G146" i="37"/>
  <c r="D147" i="37"/>
  <c r="E147" i="37" s="1"/>
  <c r="G146" i="43"/>
  <c r="D147" i="43"/>
  <c r="E147" i="43" s="1"/>
  <c r="J149" i="27"/>
  <c r="G149" i="29"/>
  <c r="D150" i="29"/>
  <c r="E150" i="29" s="1"/>
  <c r="G145" i="40"/>
  <c r="D146" i="40"/>
  <c r="E146" i="40" s="1"/>
  <c r="G151" i="24"/>
  <c r="D152" i="24"/>
  <c r="E152" i="24" s="1"/>
  <c r="J147" i="30"/>
  <c r="G153" i="25"/>
  <c r="D154" i="25"/>
  <c r="E154" i="25" s="1"/>
  <c r="E155" i="25" s="1"/>
  <c r="G146" i="39"/>
  <c r="D147" i="39"/>
  <c r="E147" i="39" s="1"/>
  <c r="D153" i="23"/>
  <c r="E153" i="23" s="1"/>
  <c r="G152" i="23"/>
  <c r="H154" i="5"/>
  <c r="H155" i="5" s="1"/>
  <c r="I154" i="5"/>
  <c r="G149" i="31"/>
  <c r="D150" i="31"/>
  <c r="E150" i="31" s="1"/>
  <c r="D150" i="28"/>
  <c r="E150" i="28" s="1"/>
  <c r="G149" i="28"/>
  <c r="G153" i="22"/>
  <c r="D154" i="22"/>
  <c r="E154" i="22" s="1"/>
  <c r="E155" i="22" s="1"/>
  <c r="H154" i="4"/>
  <c r="H155" i="4" s="1"/>
  <c r="I154" i="4"/>
  <c r="H154" i="3"/>
  <c r="H155" i="3" s="1"/>
  <c r="I154" i="3"/>
  <c r="J148" i="28"/>
  <c r="D148" i="47" l="1"/>
  <c r="E148" i="47" s="1"/>
  <c r="G147" i="47"/>
  <c r="I152" i="46"/>
  <c r="H152" i="46"/>
  <c r="G148" i="45"/>
  <c r="D149" i="45"/>
  <c r="E153" i="46"/>
  <c r="F153" i="46" s="1"/>
  <c r="I151" i="41"/>
  <c r="H151" i="41"/>
  <c r="E152" i="41"/>
  <c r="F152" i="41" s="1"/>
  <c r="B152" i="41"/>
  <c r="D153" i="42"/>
  <c r="G152" i="42"/>
  <c r="G153" i="38"/>
  <c r="D154" i="38"/>
  <c r="B150" i="31"/>
  <c r="F150" i="31"/>
  <c r="F147" i="39"/>
  <c r="B147" i="39"/>
  <c r="I153" i="25"/>
  <c r="H153" i="25"/>
  <c r="I151" i="24"/>
  <c r="H151" i="24"/>
  <c r="B147" i="37"/>
  <c r="F147" i="37"/>
  <c r="I148" i="30"/>
  <c r="H148" i="30"/>
  <c r="I153" i="22"/>
  <c r="H153" i="22"/>
  <c r="J154" i="3"/>
  <c r="J155" i="3" s="1"/>
  <c r="I155" i="3"/>
  <c r="H149" i="28"/>
  <c r="I149" i="28"/>
  <c r="I149" i="31"/>
  <c r="H149" i="31"/>
  <c r="I152" i="23"/>
  <c r="H152" i="23"/>
  <c r="H146" i="39"/>
  <c r="I146" i="39"/>
  <c r="B150" i="29"/>
  <c r="F150" i="29"/>
  <c r="B147" i="43"/>
  <c r="F147" i="43"/>
  <c r="I146" i="37"/>
  <c r="H146" i="37"/>
  <c r="B154" i="22"/>
  <c r="F154" i="22"/>
  <c r="G154" i="22" s="1"/>
  <c r="B150" i="28"/>
  <c r="F150" i="28"/>
  <c r="J154" i="5"/>
  <c r="J155" i="5" s="1"/>
  <c r="I155" i="5"/>
  <c r="B153" i="23"/>
  <c r="F153" i="23"/>
  <c r="B146" i="40"/>
  <c r="F146" i="40"/>
  <c r="H149" i="29"/>
  <c r="I149" i="29"/>
  <c r="H146" i="43"/>
  <c r="I146" i="43"/>
  <c r="H150" i="27"/>
  <c r="I150" i="27"/>
  <c r="J154" i="4"/>
  <c r="J155" i="4" s="1"/>
  <c r="I155" i="4"/>
  <c r="B154" i="25"/>
  <c r="F154" i="25"/>
  <c r="G154" i="25" s="1"/>
  <c r="B152" i="24"/>
  <c r="F152" i="24"/>
  <c r="I145" i="40"/>
  <c r="H145" i="40"/>
  <c r="B149" i="30"/>
  <c r="F149" i="30"/>
  <c r="B151" i="27"/>
  <c r="F151" i="27"/>
  <c r="G153" i="46" l="1"/>
  <c r="D154" i="46"/>
  <c r="B149" i="45"/>
  <c r="E149" i="45"/>
  <c r="F149" i="45" s="1"/>
  <c r="H148" i="45"/>
  <c r="I148" i="45"/>
  <c r="I147" i="47"/>
  <c r="H147" i="47"/>
  <c r="F148" i="47"/>
  <c r="B148" i="47"/>
  <c r="G152" i="41"/>
  <c r="D153" i="41"/>
  <c r="B153" i="41" s="1"/>
  <c r="E154" i="38"/>
  <c r="E155" i="38" s="1"/>
  <c r="B154" i="38"/>
  <c r="I153" i="38"/>
  <c r="H153" i="38"/>
  <c r="I152" i="42"/>
  <c r="H152" i="42"/>
  <c r="E153" i="42"/>
  <c r="F153" i="42" s="1"/>
  <c r="B153" i="42"/>
  <c r="J149" i="28"/>
  <c r="J149" i="31"/>
  <c r="G152" i="24"/>
  <c r="D153" i="24"/>
  <c r="E153" i="24" s="1"/>
  <c r="G146" i="40"/>
  <c r="D147" i="40"/>
  <c r="E147" i="40" s="1"/>
  <c r="H154" i="22"/>
  <c r="H155" i="22" s="1"/>
  <c r="I154" i="22"/>
  <c r="I155" i="22" s="1"/>
  <c r="G147" i="43"/>
  <c r="D148" i="43"/>
  <c r="E148" i="43" s="1"/>
  <c r="J148" i="30"/>
  <c r="G147" i="39"/>
  <c r="D148" i="39"/>
  <c r="E148" i="39" s="1"/>
  <c r="D152" i="27"/>
  <c r="E152" i="27" s="1"/>
  <c r="G151" i="27"/>
  <c r="I154" i="25"/>
  <c r="I155" i="25" s="1"/>
  <c r="H154" i="25"/>
  <c r="H155" i="25" s="1"/>
  <c r="J150" i="27"/>
  <c r="J149" i="29"/>
  <c r="G153" i="23"/>
  <c r="D154" i="23"/>
  <c r="G150" i="28"/>
  <c r="D151" i="28"/>
  <c r="E151" i="28" s="1"/>
  <c r="G150" i="29"/>
  <c r="D151" i="29"/>
  <c r="E151" i="29" s="1"/>
  <c r="G147" i="37"/>
  <c r="D148" i="37"/>
  <c r="E148" i="37" s="1"/>
  <c r="G150" i="31"/>
  <c r="D151" i="31"/>
  <c r="G149" i="30"/>
  <c r="D150" i="30"/>
  <c r="E150" i="30" s="1"/>
  <c r="G149" i="45" l="1"/>
  <c r="D150" i="45"/>
  <c r="B150" i="45" s="1"/>
  <c r="E154" i="46"/>
  <c r="E155" i="46" s="1"/>
  <c r="B154" i="46"/>
  <c r="D149" i="47"/>
  <c r="G148" i="47"/>
  <c r="I153" i="46"/>
  <c r="H153" i="46"/>
  <c r="E153" i="41"/>
  <c r="F153" i="41" s="1"/>
  <c r="D154" i="41" s="1"/>
  <c r="E154" i="41" s="1"/>
  <c r="E155" i="41" s="1"/>
  <c r="F154" i="38"/>
  <c r="G154" i="38" s="1"/>
  <c r="H154" i="38" s="1"/>
  <c r="H155" i="38" s="1"/>
  <c r="H152" i="41"/>
  <c r="I152" i="41"/>
  <c r="D154" i="42"/>
  <c r="G153" i="42"/>
  <c r="I147" i="37"/>
  <c r="H147" i="37"/>
  <c r="B154" i="23"/>
  <c r="B152" i="27"/>
  <c r="F152" i="27"/>
  <c r="I146" i="40"/>
  <c r="H146" i="40"/>
  <c r="H150" i="31"/>
  <c r="I150" i="31"/>
  <c r="B151" i="28"/>
  <c r="F151" i="28"/>
  <c r="H153" i="23"/>
  <c r="I153" i="23"/>
  <c r="B150" i="30"/>
  <c r="F150" i="30"/>
  <c r="H149" i="30"/>
  <c r="I149" i="30"/>
  <c r="H150" i="28"/>
  <c r="I150" i="28"/>
  <c r="B148" i="39"/>
  <c r="F148" i="39"/>
  <c r="B148" i="43"/>
  <c r="F148" i="43"/>
  <c r="B153" i="24"/>
  <c r="F153" i="24"/>
  <c r="B151" i="31"/>
  <c r="B151" i="29"/>
  <c r="F151" i="29"/>
  <c r="E151" i="31"/>
  <c r="F151" i="31" s="1"/>
  <c r="B148" i="37"/>
  <c r="F148" i="37"/>
  <c r="I150" i="29"/>
  <c r="H150" i="29"/>
  <c r="E154" i="23"/>
  <c r="E155" i="23" s="1"/>
  <c r="H151" i="27"/>
  <c r="I151" i="27"/>
  <c r="I147" i="39"/>
  <c r="H147" i="39"/>
  <c r="H147" i="43"/>
  <c r="I147" i="43"/>
  <c r="B147" i="40"/>
  <c r="F147" i="40"/>
  <c r="I152" i="24"/>
  <c r="H152" i="24"/>
  <c r="E150" i="45" l="1"/>
  <c r="F150" i="45" s="1"/>
  <c r="G150" i="45" s="1"/>
  <c r="I150" i="45" s="1"/>
  <c r="H148" i="47"/>
  <c r="I148" i="47"/>
  <c r="E149" i="47"/>
  <c r="F149" i="47" s="1"/>
  <c r="B149" i="47"/>
  <c r="F154" i="46"/>
  <c r="G154" i="46" s="1"/>
  <c r="H149" i="45"/>
  <c r="I149" i="45"/>
  <c r="H150" i="45"/>
  <c r="I154" i="38"/>
  <c r="I155" i="38" s="1"/>
  <c r="G153" i="41"/>
  <c r="F154" i="41"/>
  <c r="G154" i="41" s="1"/>
  <c r="H154" i="41" s="1"/>
  <c r="B154" i="41"/>
  <c r="I153" i="42"/>
  <c r="H153" i="42"/>
  <c r="E154" i="42"/>
  <c r="E155" i="42" s="1"/>
  <c r="B154" i="42"/>
  <c r="J151" i="27"/>
  <c r="J149" i="30"/>
  <c r="J150" i="31"/>
  <c r="G151" i="31"/>
  <c r="D152" i="31"/>
  <c r="E152" i="31" s="1"/>
  <c r="G148" i="43"/>
  <c r="D149" i="43"/>
  <c r="E149" i="43" s="1"/>
  <c r="J150" i="28"/>
  <c r="G150" i="30"/>
  <c r="D151" i="30"/>
  <c r="E151" i="30" s="1"/>
  <c r="G151" i="28"/>
  <c r="D152" i="28"/>
  <c r="E152" i="28" s="1"/>
  <c r="F154" i="23"/>
  <c r="G154" i="23" s="1"/>
  <c r="G147" i="40"/>
  <c r="D148" i="40"/>
  <c r="E148" i="40" s="1"/>
  <c r="J150" i="29"/>
  <c r="G151" i="29"/>
  <c r="D152" i="29"/>
  <c r="E152" i="29" s="1"/>
  <c r="G153" i="24"/>
  <c r="D154" i="24"/>
  <c r="E154" i="24" s="1"/>
  <c r="E155" i="24" s="1"/>
  <c r="G148" i="39"/>
  <c r="D149" i="39"/>
  <c r="E149" i="39" s="1"/>
  <c r="G152" i="27"/>
  <c r="D153" i="27"/>
  <c r="G148" i="37"/>
  <c r="D149" i="37"/>
  <c r="E149" i="37" s="1"/>
  <c r="D151" i="45" l="1"/>
  <c r="B151" i="45" s="1"/>
  <c r="D150" i="47"/>
  <c r="G149" i="47"/>
  <c r="I154" i="46"/>
  <c r="I155" i="46" s="1"/>
  <c r="H154" i="46"/>
  <c r="H155" i="46" s="1"/>
  <c r="I154" i="41"/>
  <c r="H153" i="41"/>
  <c r="H155" i="41" s="1"/>
  <c r="I153" i="41"/>
  <c r="I155" i="41" s="1"/>
  <c r="F154" i="42"/>
  <c r="G154" i="42" s="1"/>
  <c r="I154" i="42" s="1"/>
  <c r="I155" i="42" s="1"/>
  <c r="B153" i="27"/>
  <c r="H148" i="39"/>
  <c r="I148" i="39"/>
  <c r="I152" i="27"/>
  <c r="H152" i="27"/>
  <c r="F152" i="29"/>
  <c r="B152" i="29"/>
  <c r="B148" i="40"/>
  <c r="F148" i="40"/>
  <c r="B152" i="28"/>
  <c r="F152" i="28"/>
  <c r="H150" i="30"/>
  <c r="I150" i="30"/>
  <c r="H148" i="43"/>
  <c r="I148" i="43"/>
  <c r="E153" i="27"/>
  <c r="F153" i="27" s="1"/>
  <c r="B149" i="37"/>
  <c r="F149" i="37"/>
  <c r="H148" i="37"/>
  <c r="I148" i="37"/>
  <c r="B154" i="24"/>
  <c r="F154" i="24"/>
  <c r="G154" i="24" s="1"/>
  <c r="H151" i="29"/>
  <c r="I151" i="29"/>
  <c r="I147" i="40"/>
  <c r="H147" i="40"/>
  <c r="I151" i="28"/>
  <c r="H151" i="28"/>
  <c r="F149" i="39"/>
  <c r="B149" i="39"/>
  <c r="H153" i="24"/>
  <c r="I153" i="24"/>
  <c r="I154" i="23"/>
  <c r="I155" i="23" s="1"/>
  <c r="H154" i="23"/>
  <c r="H155" i="23" s="1"/>
  <c r="F152" i="31"/>
  <c r="B152" i="31"/>
  <c r="B151" i="30"/>
  <c r="F151" i="30"/>
  <c r="B149" i="43"/>
  <c r="F149" i="43"/>
  <c r="H151" i="31"/>
  <c r="I151" i="31"/>
  <c r="E151" i="45" l="1"/>
  <c r="F151" i="45" s="1"/>
  <c r="D152" i="45" s="1"/>
  <c r="I149" i="47"/>
  <c r="H149" i="47"/>
  <c r="E150" i="47"/>
  <c r="F150" i="47" s="1"/>
  <c r="B150" i="47"/>
  <c r="H154" i="42"/>
  <c r="H155" i="42" s="1"/>
  <c r="J151" i="29"/>
  <c r="J151" i="31"/>
  <c r="J150" i="30"/>
  <c r="G153" i="27"/>
  <c r="D154" i="27"/>
  <c r="E154" i="27" s="1"/>
  <c r="E155" i="27" s="1"/>
  <c r="G152" i="31"/>
  <c r="D153" i="31"/>
  <c r="E153" i="31" s="1"/>
  <c r="J151" i="28"/>
  <c r="G152" i="28"/>
  <c r="D153" i="28"/>
  <c r="E153" i="28" s="1"/>
  <c r="G151" i="30"/>
  <c r="D152" i="30"/>
  <c r="E152" i="30" s="1"/>
  <c r="I154" i="24"/>
  <c r="I155" i="24" s="1"/>
  <c r="H154" i="24"/>
  <c r="H155" i="24" s="1"/>
  <c r="G149" i="37"/>
  <c r="D150" i="37"/>
  <c r="E150" i="37" s="1"/>
  <c r="G152" i="29"/>
  <c r="D153" i="29"/>
  <c r="E153" i="29" s="1"/>
  <c r="G149" i="39"/>
  <c r="D150" i="39"/>
  <c r="E150" i="39" s="1"/>
  <c r="G148" i="40"/>
  <c r="D149" i="40"/>
  <c r="E149" i="40" s="1"/>
  <c r="G149" i="43"/>
  <c r="D150" i="43"/>
  <c r="E150" i="43" s="1"/>
  <c r="J152" i="27"/>
  <c r="G151" i="45" l="1"/>
  <c r="H151" i="45"/>
  <c r="I151" i="45"/>
  <c r="B152" i="45"/>
  <c r="E152" i="45"/>
  <c r="F152" i="45" s="1"/>
  <c r="D151" i="47"/>
  <c r="B151" i="47" s="1"/>
  <c r="G150" i="47"/>
  <c r="H149" i="43"/>
  <c r="I149" i="43"/>
  <c r="B153" i="29"/>
  <c r="F153" i="29"/>
  <c r="I149" i="37"/>
  <c r="H149" i="37"/>
  <c r="B152" i="30"/>
  <c r="F152" i="30"/>
  <c r="H152" i="28"/>
  <c r="I152" i="28"/>
  <c r="H152" i="31"/>
  <c r="I152" i="31"/>
  <c r="B150" i="39"/>
  <c r="F150" i="39"/>
  <c r="H152" i="29"/>
  <c r="I152" i="29"/>
  <c r="H151" i="30"/>
  <c r="I151" i="30"/>
  <c r="B149" i="40"/>
  <c r="F149" i="40"/>
  <c r="H149" i="39"/>
  <c r="I149" i="39"/>
  <c r="B154" i="27"/>
  <c r="F154" i="27"/>
  <c r="G154" i="27" s="1"/>
  <c r="B150" i="43"/>
  <c r="F150" i="43"/>
  <c r="H148" i="40"/>
  <c r="I148" i="40"/>
  <c r="B150" i="37"/>
  <c r="F150" i="37"/>
  <c r="B153" i="28"/>
  <c r="F153" i="28"/>
  <c r="B153" i="31"/>
  <c r="F153" i="31"/>
  <c r="I153" i="27"/>
  <c r="H153" i="27"/>
  <c r="E151" i="47" l="1"/>
  <c r="F151" i="47" s="1"/>
  <c r="D152" i="47" s="1"/>
  <c r="G152" i="45"/>
  <c r="D153" i="45"/>
  <c r="B153" i="45" s="1"/>
  <c r="I150" i="47"/>
  <c r="H150" i="47"/>
  <c r="J152" i="28"/>
  <c r="J151" i="30"/>
  <c r="J153" i="27"/>
  <c r="G153" i="28"/>
  <c r="D154" i="28"/>
  <c r="E154" i="28" s="1"/>
  <c r="E155" i="28" s="1"/>
  <c r="H154" i="27"/>
  <c r="H155" i="27" s="1"/>
  <c r="I154" i="27"/>
  <c r="D150" i="40"/>
  <c r="E150" i="40" s="1"/>
  <c r="G149" i="40"/>
  <c r="J152" i="29"/>
  <c r="J152" i="31"/>
  <c r="G152" i="30"/>
  <c r="D153" i="30"/>
  <c r="G153" i="29"/>
  <c r="D154" i="29"/>
  <c r="E154" i="29" s="1"/>
  <c r="E155" i="29" s="1"/>
  <c r="G153" i="31"/>
  <c r="D154" i="31"/>
  <c r="E154" i="31" s="1"/>
  <c r="E155" i="31" s="1"/>
  <c r="G150" i="37"/>
  <c r="D151" i="37"/>
  <c r="E151" i="37" s="1"/>
  <c r="G150" i="43"/>
  <c r="D151" i="43"/>
  <c r="G150" i="39"/>
  <c r="D151" i="39"/>
  <c r="E151" i="39" s="1"/>
  <c r="G151" i="47" l="1"/>
  <c r="H151" i="47" s="1"/>
  <c r="E153" i="45"/>
  <c r="F153" i="45" s="1"/>
  <c r="I152" i="45"/>
  <c r="H152" i="45"/>
  <c r="I151" i="47"/>
  <c r="E152" i="47"/>
  <c r="F152" i="47" s="1"/>
  <c r="B152" i="47"/>
  <c r="B153" i="30"/>
  <c r="B151" i="39"/>
  <c r="F151" i="39"/>
  <c r="H150" i="43"/>
  <c r="I150" i="43"/>
  <c r="B154" i="29"/>
  <c r="F154" i="29"/>
  <c r="G154" i="29" s="1"/>
  <c r="I152" i="30"/>
  <c r="H152" i="30"/>
  <c r="H149" i="40"/>
  <c r="I149" i="40"/>
  <c r="B151" i="43"/>
  <c r="H150" i="37"/>
  <c r="I150" i="37"/>
  <c r="H150" i="39"/>
  <c r="I150" i="39"/>
  <c r="H153" i="29"/>
  <c r="I153" i="29"/>
  <c r="B150" i="40"/>
  <c r="F150" i="40"/>
  <c r="F154" i="28"/>
  <c r="G154" i="28" s="1"/>
  <c r="B154" i="28"/>
  <c r="B154" i="31"/>
  <c r="F154" i="31"/>
  <c r="G154" i="31" s="1"/>
  <c r="E151" i="43"/>
  <c r="F151" i="43" s="1"/>
  <c r="B151" i="37"/>
  <c r="F151" i="37"/>
  <c r="H153" i="31"/>
  <c r="I153" i="31"/>
  <c r="E153" i="30"/>
  <c r="F153" i="30" s="1"/>
  <c r="J154" i="27"/>
  <c r="J155" i="27" s="1"/>
  <c r="I155" i="27"/>
  <c r="H153" i="28"/>
  <c r="I153" i="28"/>
  <c r="G153" i="45" l="1"/>
  <c r="D154" i="45"/>
  <c r="D153" i="47"/>
  <c r="G152" i="47"/>
  <c r="J153" i="31"/>
  <c r="G153" i="30"/>
  <c r="D154" i="30"/>
  <c r="E154" i="30" s="1"/>
  <c r="E155" i="30" s="1"/>
  <c r="G151" i="43"/>
  <c r="D152" i="43"/>
  <c r="E152" i="43" s="1"/>
  <c r="J153" i="28"/>
  <c r="J153" i="29"/>
  <c r="H154" i="29"/>
  <c r="H155" i="29" s="1"/>
  <c r="I154" i="29"/>
  <c r="G151" i="39"/>
  <c r="D152" i="39"/>
  <c r="H154" i="28"/>
  <c r="H155" i="28" s="1"/>
  <c r="I154" i="28"/>
  <c r="H154" i="31"/>
  <c r="H155" i="31" s="1"/>
  <c r="I154" i="31"/>
  <c r="G150" i="40"/>
  <c r="D151" i="40"/>
  <c r="E151" i="40" s="1"/>
  <c r="G151" i="37"/>
  <c r="D152" i="37"/>
  <c r="E152" i="37" s="1"/>
  <c r="J152" i="30"/>
  <c r="E154" i="45" l="1"/>
  <c r="E155" i="45" s="1"/>
  <c r="B154" i="45"/>
  <c r="F154" i="45"/>
  <c r="G154" i="45" s="1"/>
  <c r="H153" i="45"/>
  <c r="I153" i="45"/>
  <c r="H152" i="47"/>
  <c r="I152" i="47"/>
  <c r="E153" i="47"/>
  <c r="F153" i="47" s="1"/>
  <c r="B153" i="47"/>
  <c r="B152" i="39"/>
  <c r="H151" i="43"/>
  <c r="I151" i="43"/>
  <c r="B151" i="40"/>
  <c r="F151" i="40"/>
  <c r="I151" i="39"/>
  <c r="H151" i="39"/>
  <c r="J154" i="29"/>
  <c r="J155" i="29" s="1"/>
  <c r="I155" i="29"/>
  <c r="B154" i="30"/>
  <c r="F154" i="30"/>
  <c r="G154" i="30" s="1"/>
  <c r="J154" i="28"/>
  <c r="J155" i="28" s="1"/>
  <c r="I155" i="28"/>
  <c r="B152" i="37"/>
  <c r="F152" i="37"/>
  <c r="I150" i="40"/>
  <c r="H150" i="40"/>
  <c r="H151" i="37"/>
  <c r="I151" i="37"/>
  <c r="J154" i="31"/>
  <c r="J155" i="31" s="1"/>
  <c r="I155" i="31"/>
  <c r="E152" i="39"/>
  <c r="F152" i="39" s="1"/>
  <c r="B152" i="43"/>
  <c r="F152" i="43"/>
  <c r="H153" i="30"/>
  <c r="I153" i="30"/>
  <c r="I154" i="45" l="1"/>
  <c r="I155" i="45" s="1"/>
  <c r="H154" i="45"/>
  <c r="H155" i="45" s="1"/>
  <c r="D154" i="47"/>
  <c r="G153" i="47"/>
  <c r="G152" i="37"/>
  <c r="D153" i="37"/>
  <c r="E153" i="37" s="1"/>
  <c r="H154" i="30"/>
  <c r="H155" i="30" s="1"/>
  <c r="I154" i="30"/>
  <c r="G152" i="43"/>
  <c r="D153" i="43"/>
  <c r="E153" i="43" s="1"/>
  <c r="J153" i="30"/>
  <c r="G151" i="40"/>
  <c r="D152" i="40"/>
  <c r="G152" i="39"/>
  <c r="D153" i="39"/>
  <c r="E153" i="39" s="1"/>
  <c r="I153" i="47" l="1"/>
  <c r="H153" i="47"/>
  <c r="E154" i="47"/>
  <c r="E155" i="47" s="1"/>
  <c r="B154" i="47"/>
  <c r="B152" i="40"/>
  <c r="B153" i="43"/>
  <c r="F153" i="43"/>
  <c r="E152" i="40"/>
  <c r="F152" i="40" s="1"/>
  <c r="B153" i="37"/>
  <c r="F153" i="37"/>
  <c r="B153" i="39"/>
  <c r="F153" i="39"/>
  <c r="I151" i="40"/>
  <c r="H151" i="40"/>
  <c r="H152" i="43"/>
  <c r="I152" i="43"/>
  <c r="I152" i="39"/>
  <c r="H152" i="39"/>
  <c r="J154" i="30"/>
  <c r="J155" i="30" s="1"/>
  <c r="I155" i="30"/>
  <c r="I152" i="37"/>
  <c r="H152" i="37"/>
  <c r="F154" i="47" l="1"/>
  <c r="G154" i="47" s="1"/>
  <c r="D153" i="40"/>
  <c r="E153" i="40" s="1"/>
  <c r="G152" i="40"/>
  <c r="G153" i="43"/>
  <c r="D154" i="43"/>
  <c r="E154" i="43" s="1"/>
  <c r="E155" i="43" s="1"/>
  <c r="D154" i="37"/>
  <c r="E154" i="37" s="1"/>
  <c r="E155" i="37" s="1"/>
  <c r="G153" i="37"/>
  <c r="G153" i="39"/>
  <c r="D154" i="39"/>
  <c r="E154" i="39" s="1"/>
  <c r="E155" i="39" s="1"/>
  <c r="H154" i="47" l="1"/>
  <c r="H155" i="47" s="1"/>
  <c r="I154" i="47"/>
  <c r="I155" i="47" s="1"/>
  <c r="H153" i="37"/>
  <c r="I153" i="37"/>
  <c r="H153" i="43"/>
  <c r="I153" i="43"/>
  <c r="F154" i="37"/>
  <c r="G154" i="37" s="1"/>
  <c r="B154" i="37"/>
  <c r="B154" i="39"/>
  <c r="F154" i="39"/>
  <c r="G154" i="39" s="1"/>
  <c r="H153" i="39"/>
  <c r="I153" i="39"/>
  <c r="I152" i="40"/>
  <c r="H152" i="40"/>
  <c r="B154" i="43"/>
  <c r="F154" i="43"/>
  <c r="G154" i="43" s="1"/>
  <c r="F153" i="40"/>
  <c r="B153" i="40"/>
  <c r="H154" i="39" l="1"/>
  <c r="H155" i="39" s="1"/>
  <c r="I154" i="39"/>
  <c r="I155" i="39" s="1"/>
  <c r="G153" i="40"/>
  <c r="D154" i="40"/>
  <c r="I154" i="43"/>
  <c r="I155" i="43" s="1"/>
  <c r="H154" i="43"/>
  <c r="H155" i="43" s="1"/>
  <c r="H154" i="37"/>
  <c r="H155" i="37" s="1"/>
  <c r="I154" i="37"/>
  <c r="I155" i="37" s="1"/>
  <c r="B154" i="40" l="1"/>
  <c r="I153" i="40"/>
  <c r="H153" i="40"/>
  <c r="E154" i="40"/>
  <c r="E155" i="40" s="1"/>
  <c r="F154" i="40" l="1"/>
  <c r="G154" i="40" s="1"/>
  <c r="H154" i="40" s="1"/>
  <c r="H155" i="40" s="1"/>
  <c r="I154" i="40" l="1"/>
  <c r="I155" i="40" s="1"/>
  <c r="L45" i="17" l="1"/>
  <c r="V45" i="17" s="1"/>
  <c r="L36" i="17" l="1"/>
  <c r="V36" i="17" s="1"/>
  <c r="L31" i="17"/>
  <c r="V31" i="17" s="1"/>
  <c r="L37" i="17"/>
  <c r="V37" i="17" s="1"/>
  <c r="L26" i="17"/>
  <c r="V26" i="17" s="1"/>
  <c r="L33" i="17"/>
  <c r="V33" i="17" s="1"/>
  <c r="L22" i="17"/>
  <c r="V22" i="17" s="1"/>
  <c r="L24" i="17"/>
  <c r="V24" i="17" s="1"/>
  <c r="L25" i="17"/>
  <c r="V25" i="17" s="1"/>
  <c r="L43" i="17"/>
  <c r="V43" i="17" s="1"/>
  <c r="L41" i="17"/>
  <c r="V41" i="17" s="1"/>
  <c r="L34" i="17"/>
  <c r="V34" i="17" s="1"/>
  <c r="L32" i="17"/>
  <c r="V32" i="17" s="1"/>
  <c r="L20" i="17"/>
  <c r="V20" i="17" s="1"/>
  <c r="L19" i="17"/>
  <c r="V19" i="17" s="1"/>
  <c r="L21" i="17"/>
  <c r="V21" i="17" s="1"/>
  <c r="L29" i="17"/>
  <c r="V29" i="17" s="1"/>
  <c r="L28" i="17"/>
  <c r="V28" i="17" s="1"/>
  <c r="L23" i="17"/>
  <c r="V23" i="17" s="1"/>
  <c r="L44" i="17"/>
  <c r="V44" i="17" s="1"/>
  <c r="L40" i="17"/>
  <c r="V40" i="17" s="1"/>
  <c r="L38" i="17"/>
  <c r="V38" i="17" s="1"/>
  <c r="L30" i="17"/>
  <c r="V30" i="17" s="1"/>
  <c r="L27" i="17"/>
  <c r="V27" i="17" s="1"/>
  <c r="L35" i="17"/>
  <c r="V35" i="17" s="1"/>
  <c r="L42" i="17" l="1"/>
  <c r="V42" i="17" s="1"/>
  <c r="L39" i="17"/>
  <c r="V39" i="17" s="1"/>
  <c r="L18" i="17"/>
  <c r="V18" i="17" l="1"/>
  <c r="V52" i="17" s="1"/>
  <c r="L52" i="17"/>
  <c r="Q50" i="17" l="1"/>
  <c r="R50" i="17" s="1"/>
  <c r="T50" i="17" s="1"/>
  <c r="Q49" i="17"/>
  <c r="R49" i="17" s="1"/>
  <c r="T49" i="17" s="1"/>
  <c r="Q20" i="17"/>
  <c r="R20" i="17" s="1"/>
  <c r="T20" i="17" s="1"/>
  <c r="Q21" i="17"/>
  <c r="R21" i="17" s="1"/>
  <c r="T21" i="17" s="1"/>
  <c r="Q45" i="17"/>
  <c r="R45" i="17" s="1"/>
  <c r="T45" i="17" s="1"/>
  <c r="Q19" i="17"/>
  <c r="R19" i="17" s="1"/>
  <c r="T19" i="17" s="1"/>
  <c r="Q18" i="17"/>
  <c r="Q47" i="17"/>
  <c r="R47" i="17" s="1"/>
  <c r="T47" i="17" s="1"/>
  <c r="Q46" i="17"/>
  <c r="R46" i="17" s="1"/>
  <c r="T46" i="17" s="1"/>
  <c r="Q48" i="17"/>
  <c r="R48" i="17" s="1"/>
  <c r="T48" i="17" s="1"/>
  <c r="Q38" i="17"/>
  <c r="R38" i="17" s="1"/>
  <c r="T38" i="17" s="1"/>
  <c r="Q26" i="17"/>
  <c r="R26" i="17" s="1"/>
  <c r="T26" i="17" s="1"/>
  <c r="Q29" i="17"/>
  <c r="R29" i="17" s="1"/>
  <c r="T29" i="17" s="1"/>
  <c r="Q33" i="17"/>
  <c r="R33" i="17" s="1"/>
  <c r="T33" i="17" s="1"/>
  <c r="Q31" i="17"/>
  <c r="R31" i="17" s="1"/>
  <c r="T31" i="17" s="1"/>
  <c r="Q37" i="17"/>
  <c r="R37" i="17" s="1"/>
  <c r="T37" i="17" s="1"/>
  <c r="Q34" i="17"/>
  <c r="R34" i="17" s="1"/>
  <c r="T34" i="17" s="1"/>
  <c r="Q36" i="17"/>
  <c r="R36" i="17" s="1"/>
  <c r="T36" i="17" s="1"/>
  <c r="Q44" i="17"/>
  <c r="R44" i="17" s="1"/>
  <c r="T44" i="17" s="1"/>
  <c r="Q41" i="17"/>
  <c r="R41" i="17" s="1"/>
  <c r="T41" i="17" s="1"/>
  <c r="Q30" i="17"/>
  <c r="R30" i="17" s="1"/>
  <c r="T30" i="17" s="1"/>
  <c r="Q28" i="17"/>
  <c r="R28" i="17" s="1"/>
  <c r="T28" i="17" s="1"/>
  <c r="Q27" i="17"/>
  <c r="R27" i="17" s="1"/>
  <c r="T27" i="17" s="1"/>
  <c r="Q35" i="17"/>
  <c r="R35" i="17" s="1"/>
  <c r="T35" i="17" s="1"/>
  <c r="Q43" i="17"/>
  <c r="R43" i="17" s="1"/>
  <c r="T43" i="17" s="1"/>
  <c r="Q32" i="17"/>
  <c r="R32" i="17" s="1"/>
  <c r="T32" i="17" s="1"/>
  <c r="Q25" i="17"/>
  <c r="R25" i="17" s="1"/>
  <c r="T25" i="17" s="1"/>
  <c r="Q40" i="17"/>
  <c r="R40" i="17" s="1"/>
  <c r="T40" i="17" s="1"/>
  <c r="Q24" i="17"/>
  <c r="R24" i="17" s="1"/>
  <c r="T24" i="17" s="1"/>
  <c r="Q22" i="17"/>
  <c r="R22" i="17" s="1"/>
  <c r="T22" i="17" s="1"/>
  <c r="Q23" i="17"/>
  <c r="R23" i="17" s="1"/>
  <c r="T23" i="17" s="1"/>
  <c r="Q42" i="17"/>
  <c r="R42" i="17" s="1"/>
  <c r="T42" i="17" s="1"/>
  <c r="Q39" i="17"/>
  <c r="R39" i="17" s="1"/>
  <c r="T39" i="17" s="1"/>
  <c r="R18" i="17" l="1"/>
  <c r="T18" i="17" s="1"/>
  <c r="T52" i="17" s="1"/>
  <c r="R52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R.Pennybaker</author>
    <author>AEP</author>
    <author>rlp</author>
    <author>S177040</author>
  </authors>
  <commentList>
    <comment ref="C1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 Descriptions are in cell [P.xxx]!$D$7]</t>
        </r>
      </text>
    </comment>
    <comment ref="D1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Year In Service is in cell [P.xxx]!$D$11]</t>
        </r>
      </text>
    </comment>
    <comment ref="E16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Base ARR is in cell [P.xxx]!$N$5]</t>
        </r>
      </text>
    </comment>
    <comment ref="F1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Incentive ARR is in WS-F cell N7.</t>
        </r>
      </text>
    </comment>
    <comment ref="I16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"TRUE-UP Adjustment (i.e., Forecast Error) is from WS-G sheet [P.00x] in cell M89.</t>
        </r>
      </text>
    </comment>
    <comment ref="J16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"Manually input from previous year's update "</t>
        </r>
        <r>
          <rPr>
            <i/>
            <sz val="8"/>
            <color indexed="81"/>
            <rFont val="Tahoma"/>
            <family val="2"/>
          </rPr>
          <t>Schedule 11 Rates by Project</t>
        </r>
        <r>
          <rPr>
            <sz val="8"/>
            <color indexed="81"/>
            <rFont val="Tahoma"/>
            <family val="2"/>
          </rPr>
          <t>" sheet column Q.</t>
        </r>
      </text>
    </comment>
    <comment ref="K16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These values reflect SPP remittance to AEP of Schedule 11 revenues for prior Calendar Year T-service transactions.</t>
        </r>
      </text>
    </comment>
    <comment ref="L16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can also be referred to as the Billing Error.</t>
        </r>
      </text>
    </comment>
    <comment ref="N16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This is "Prior Year True-Up (WS-G)"; and "Incentive Amounts" O88</t>
        </r>
      </text>
    </comment>
    <comment ref="O16" authorId="1" shapeId="0" xr:uid="{00000000-0006-0000-0000-00000A000000}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Prior Year Projected (WS-F) and Incentive Amounts [cell O87]</t>
        </r>
      </text>
    </comment>
    <comment ref="C28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AEP:
</t>
        </r>
        <r>
          <rPr>
            <sz val="9"/>
            <color indexed="81"/>
            <rFont val="Tahoma"/>
            <family val="2"/>
          </rPr>
          <t xml:space="preserve">The SPP NTC only allows 94% of this project to be Base Plan.  Therefore, from 2014 Update onward, the indicated ATTR is based upon 94% of actual project investment.
In previous annual Updates, AEP provided 100% investment based ATRR thus SPP only collected 94% of the indicated ATRRs.  
Repeating:  from 2014 Update onward, no scaling is required by SPP as the indicated ATRR is already refelcting the 94% scaler per the original NTC.
</t>
        </r>
      </text>
    </comment>
    <comment ref="K52" authorId="2" shapeId="0" xr:uid="{00000000-0006-0000-0000-00000C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This amount was booked by AEP during CY 2014.  Represents Sch. 11 revenues remitted from SPP&gt;</t>
        </r>
      </text>
    </comment>
    <comment ref="Q52" authorId="3" shapeId="0" xr:uid="{00000000-0006-0000-0000-00000D000000}">
      <text>
        <r>
          <rPr>
            <b/>
            <sz val="9"/>
            <color indexed="81"/>
            <rFont val="Tahoma"/>
            <family val="2"/>
          </rPr>
          <t>S177040:</t>
        </r>
        <r>
          <rPr>
            <sz val="9"/>
            <color indexed="81"/>
            <rFont val="Tahoma"/>
            <family val="2"/>
          </rPr>
          <t xml:space="preserve">
From "33" Base Plan Interest file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R.Pennybaker</author>
  </authors>
  <commentList>
    <comment ref="L1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value comes from Formula Template file via data INPUT table below.  Then, it supuplies the project year value to the P.xxx sheets.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D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previous years depreciation.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 Williamson</author>
    <author>rlp</author>
  </authors>
  <commentList>
    <comment ref="O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Mary Williamson:</t>
        </r>
        <r>
          <rPr>
            <sz val="9"/>
            <color indexed="81"/>
            <rFont val="Tahoma"/>
            <family val="2"/>
          </rPr>
          <t xml:space="preserve">
Wavetrap at Snyder portion of this project is being DA to WFEC due to the cancellation of their power plant construction.</t>
        </r>
      </text>
    </comment>
    <comment ref="D100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prior year(s) depreciation.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G17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Projected 2008 ARR not published in 2008 update because project not included until 2009 update.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D20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(not prev published).</t>
        </r>
      </text>
    </comment>
    <comment ref="D100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2007/6 historic values from 09 template calculations (not prev published).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D19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calculations (data not prev published).</t>
        </r>
      </text>
    </comment>
    <comment ref="D100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2008/7 hist values from 09 template (not prev published).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AEP</author>
  </authors>
  <commentList>
    <comment ref="D10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Per SPP NTC, Investment (EOY) is input as 94% of actual total investment provided by Planning.</t>
        </r>
      </text>
    </comment>
    <comment ref="D20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This year's Beginning Balance changed by both an IU (investment update) as well as starting the 94% scaler.  This year (2014) reflects 1st year Investment (EOY) value is scaled 94% on the front end vs SPP scaling ARR values on the back end.</t>
        </r>
      </text>
    </comment>
  </commentList>
</comments>
</file>

<file path=xl/sharedStrings.xml><?xml version="1.0" encoding="utf-8"?>
<sst xmlns="http://schemas.openxmlformats.org/spreadsheetml/2006/main" count="4336" uniqueCount="410">
  <si>
    <t>I.</t>
  </si>
  <si>
    <t xml:space="preserve">   Project ROE Incentive Adder (Enter as whole number)</t>
  </si>
  <si>
    <t>&lt;==Incentive ROE  Cannot Exceed 12.45%</t>
  </si>
  <si>
    <t>SUMMARY OF PROJECTED ANNUAL BASE PLAN AND  NON-BASE PLAN REVENUE REQUIREMENTS</t>
  </si>
  <si>
    <t>%</t>
  </si>
  <si>
    <t>Cost</t>
  </si>
  <si>
    <t>Weighted cost</t>
  </si>
  <si>
    <t>Long Term Debt</t>
  </si>
  <si>
    <t>Rev Require</t>
  </si>
  <si>
    <t xml:space="preserve"> W Incentives</t>
  </si>
  <si>
    <t>Incentive Amounts</t>
  </si>
  <si>
    <t>Preferred Stock</t>
  </si>
  <si>
    <t>Common Stock</t>
  </si>
  <si>
    <t>PROJECTED YEAR</t>
  </si>
  <si>
    <t>R =</t>
  </si>
  <si>
    <r>
      <t xml:space="preserve">Note:  </t>
    </r>
    <r>
      <rPr>
        <sz val="10"/>
        <rFont val="Arial"/>
        <family val="2"/>
      </rPr>
      <t xml:space="preserve">Review formulas in summary to ensure the proper year's revenue requirement is being </t>
    </r>
  </si>
  <si>
    <t>accumulated for each project from the tables below.</t>
  </si>
  <si>
    <t xml:space="preserve">   R   (fom A. above)</t>
  </si>
  <si>
    <t xml:space="preserve">   Return (Rate Base  x  R)</t>
  </si>
  <si>
    <t xml:space="preserve">   Return   (from B. above)</t>
  </si>
  <si>
    <t xml:space="preserve">   EIT=(T/(1-T)) * (1-(WCLTD/WACC)) =</t>
  </si>
  <si>
    <t xml:space="preserve">   Income Tax Calculation  (Return  x  EIT)</t>
  </si>
  <si>
    <t xml:space="preserve">   Income Taxes</t>
  </si>
  <si>
    <t>II.</t>
  </si>
  <si>
    <t>A.   Determine Net Revenue Requirement less return and Income Taxes.</t>
  </si>
  <si>
    <t xml:space="preserve">   Net Revenue Requirement, Less Return and Taxes</t>
  </si>
  <si>
    <t xml:space="preserve">   Income Taxes  (from I.C. above)</t>
  </si>
  <si>
    <t xml:space="preserve">   Revenue Requirement w/ Gross Margin Taxes</t>
  </si>
  <si>
    <t xml:space="preserve">      Basis Point ROE increase (II B. above)</t>
  </si>
  <si>
    <t xml:space="preserve">       Apportioned Texas Revenues</t>
  </si>
  <si>
    <t xml:space="preserve">       Taxable, Apportioned Margin</t>
  </si>
  <si>
    <t xml:space="preserve">       Texas Gross Margin Tax Rate</t>
  </si>
  <si>
    <t xml:space="preserve">       Texas Gross Margin Tax Expense</t>
  </si>
  <si>
    <t xml:space="preserve">      Gross-up Required for Gross Margin Tax Expense </t>
  </si>
  <si>
    <t>Total Additional Gross Margin Tax Revenue Requirement</t>
  </si>
  <si>
    <t>III.</t>
  </si>
  <si>
    <t>Calculation of Composite Depreciation Rate</t>
  </si>
  <si>
    <t>Transmission Plant @ Beginning of Period (P.206, ln 58)</t>
  </si>
  <si>
    <t>Transmission Plant @ End of Period (P.207, ln 58)</t>
  </si>
  <si>
    <t>Composite Depreciation Rate</t>
  </si>
  <si>
    <t>Depreciable Life for Composite Depreciation Rate</t>
  </si>
  <si>
    <t>Round to nearest whole year</t>
  </si>
  <si>
    <t>IV.</t>
  </si>
  <si>
    <t>Determine the Revenue Requirement &amp; Additional Revenue Requirement for facilities receiving incentives.</t>
  </si>
  <si>
    <t>A.   Facilities receiving incentives accepted by FERC in Docket No.</t>
  </si>
  <si>
    <t xml:space="preserve">   (e.g. ER05-925-000)</t>
  </si>
  <si>
    <t xml:space="preserve">Project Description: </t>
  </si>
  <si>
    <t>Current Projected Year Incentive ARR</t>
  </si>
  <si>
    <t>DETAILS</t>
  </si>
  <si>
    <t>TP2006087</t>
  </si>
  <si>
    <t>Investment</t>
  </si>
  <si>
    <t>Current Year</t>
  </si>
  <si>
    <t>CUMMULATIVE HISTORY OF PROJECTED ANNUAL REVENUE REQUIREMENTS:</t>
  </si>
  <si>
    <t>Service Year (yyyy)</t>
  </si>
  <si>
    <t>ROE increase accepted by FERC (Basis Points)</t>
  </si>
  <si>
    <t>Service Month (1-12)</t>
  </si>
  <si>
    <t>FCR w/o incentives, less depreciation</t>
  </si>
  <si>
    <t xml:space="preserve">          TEMPLATE BELOW TO MAINTAIN HISTORY OF PROJECTED ARRS OVER THE </t>
  </si>
  <si>
    <t>Useful life</t>
  </si>
  <si>
    <t>FCR w/incentives approved for these facilities, less dep.</t>
  </si>
  <si>
    <t xml:space="preserve">         LIFE OF THE PROJECT.</t>
  </si>
  <si>
    <t>CIAC (Yes or No)</t>
  </si>
  <si>
    <t>No</t>
  </si>
  <si>
    <t>Annual Depreciation Expense</t>
  </si>
  <si>
    <t>Beginning</t>
  </si>
  <si>
    <t>Depreciation</t>
  </si>
  <si>
    <t>Ending</t>
  </si>
  <si>
    <t>Additional Rev.</t>
  </si>
  <si>
    <t>Project Rev Req't True-up</t>
  </si>
  <si>
    <t>True-up of Incentive</t>
  </si>
  <si>
    <t>Year</t>
  </si>
  <si>
    <t>Balance</t>
  </si>
  <si>
    <t>Expense</t>
  </si>
  <si>
    <t xml:space="preserve">Requirement </t>
  </si>
  <si>
    <t xml:space="preserve">with Incentives </t>
  </si>
  <si>
    <t xml:space="preserve">  </t>
  </si>
  <si>
    <t xml:space="preserve">w/o Incentives </t>
  </si>
  <si>
    <t>Project Totals</t>
  </si>
  <si>
    <t>additional incentive requirement is applicable for the life of this specific project.  Each year the revenue requirement calculated for SPP</t>
  </si>
  <si>
    <t xml:space="preserve">should be incremented by the amount of the incentive revenue calculated for that year on this project. </t>
  </si>
  <si>
    <t>TP2007059</t>
  </si>
  <si>
    <t>TP2006054</t>
  </si>
  <si>
    <t>TP2004147</t>
  </si>
  <si>
    <t>TP2005006</t>
  </si>
  <si>
    <t>Pryor Junction 138/69 Upgrade Transf</t>
  </si>
  <si>
    <t>TP2006090</t>
  </si>
  <si>
    <t>TP2007015</t>
  </si>
  <si>
    <t>TP2005046</t>
  </si>
  <si>
    <t>TP2004033</t>
  </si>
  <si>
    <t>SUMMARY OF TRUED-UP ANNUAL REVENUE REQUIREMENTS FOR SPP BPU &amp; NON-BPU PROJECTS</t>
  </si>
  <si>
    <t>TRUE-UP YEAR</t>
  </si>
  <si>
    <t>Determine the Revenue Requirement, and Additional Revenue Requirement for facilities receiving incentives.</t>
  </si>
  <si>
    <t>Project Description:</t>
  </si>
  <si>
    <t>Details</t>
  </si>
  <si>
    <t>True-Up Year</t>
  </si>
  <si>
    <t>CUMMULATIVE HISTORY OF TRUED-UP ANNUAL REVENUE REQUIREMENTS:</t>
  </si>
  <si>
    <t xml:space="preserve">          TEMPLATE BELOW TO MAINTAIN HISTORY OF TRUED-UP ARRS OVER THE </t>
  </si>
  <si>
    <t>Average</t>
  </si>
  <si>
    <t>Incentive Rev.</t>
  </si>
  <si>
    <t>BPU Rev Req't True-up</t>
  </si>
  <si>
    <r>
      <t xml:space="preserve">** </t>
    </r>
    <r>
      <rPr>
        <sz val="10"/>
        <rFont val="Arial"/>
        <family val="2"/>
      </rPr>
      <t xml:space="preserve"> This is the total amount that needs to be reported to SPP for billing to all regions. </t>
    </r>
  </si>
  <si>
    <t xml:space="preserve">Average </t>
  </si>
  <si>
    <t>BPU Rev. Req't.From Prior Year Template</t>
  </si>
  <si>
    <r>
      <t xml:space="preserve">   Return   (from </t>
    </r>
    <r>
      <rPr>
        <sz val="10"/>
        <rFont val="MS Serif"/>
        <family val="1"/>
      </rPr>
      <t>I</t>
    </r>
    <r>
      <rPr>
        <sz val="10"/>
        <rFont val="Arial"/>
        <family val="2"/>
      </rPr>
      <t>.B. above)</t>
    </r>
  </si>
  <si>
    <r>
      <t xml:space="preserve">Requirement </t>
    </r>
    <r>
      <rPr>
        <b/>
        <sz val="10"/>
        <color indexed="10"/>
        <rFont val="Arial"/>
        <family val="2"/>
      </rPr>
      <t>##</t>
    </r>
  </si>
  <si>
    <r>
      <t>with Incentives</t>
    </r>
    <r>
      <rPr>
        <b/>
        <sz val="10"/>
        <color indexed="10"/>
        <rFont val="Arial"/>
        <family val="2"/>
      </rPr>
      <t xml:space="preserve"> **</t>
    </r>
  </si>
  <si>
    <r>
      <t>##</t>
    </r>
    <r>
      <rPr>
        <b/>
        <sz val="10"/>
        <rFont val="Arial"/>
        <family val="2"/>
      </rPr>
      <t xml:space="preserve"> This is the calculation of  additional incentive revenue on projects deemed by the FERC to be eligible for an incentive return.  This</t>
    </r>
  </si>
  <si>
    <r>
      <t xml:space="preserve">##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</si>
  <si>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>inset project name here</t>
  </si>
  <si>
    <t>Long Term Debt %</t>
  </si>
  <si>
    <t>Long Term Debt Cost</t>
  </si>
  <si>
    <t>Preferred Stock %</t>
  </si>
  <si>
    <t>Preferred Stock Cost</t>
  </si>
  <si>
    <t>Common Stock %</t>
  </si>
  <si>
    <t>EXPORT DATA to Template PSO WS F</t>
  </si>
  <si>
    <t>STEP 2</t>
  </si>
  <si>
    <t>STEP 3</t>
  </si>
  <si>
    <t>PSO</t>
  </si>
  <si>
    <t xml:space="preserve">       Apportionment Factor to Texas (Worksheet K, ln 12)</t>
  </si>
  <si>
    <t>Black text is not used in this workbook.</t>
  </si>
  <si>
    <t>Blue text is used by this workbbok and driven by non WS-F Formula Rate template worksheets</t>
  </si>
  <si>
    <t>SEE INPUT/OUTPUT ranges to the right  ----&gt;</t>
  </si>
  <si>
    <t>SEE INPUT/OUTPUT ranges to the right  ------&gt;</t>
  </si>
  <si>
    <t xml:space="preserve">AEP West SPP Member Companies </t>
  </si>
  <si>
    <t>PUBLIC SERVICE COMPANY OF OKLAHOMA</t>
  </si>
  <si>
    <t>See INPUT/OUTPUT ranges below.</t>
  </si>
  <si>
    <t>STEP 1</t>
  </si>
  <si>
    <t>Is done first in the main Formula Rate template  Worksheet F.</t>
  </si>
  <si>
    <t>STEP 4</t>
  </si>
  <si>
    <t>Is done last in the main Formula Rate template  Worksheet F.</t>
  </si>
  <si>
    <t>Copy to main FR Template</t>
  </si>
  <si>
    <t>Project Description</t>
  </si>
  <si>
    <t>Is done first in the main Formula Rate template  Worksheet G.</t>
  </si>
  <si>
    <t>Is done last in the main Formula Rate template  Worksheet G.</t>
  </si>
  <si>
    <t>EXPORT DATA to main FR Template PSO WS G</t>
  </si>
  <si>
    <t>Blue text below is used by this workbbok and comes from main Formula Rate template WS-G sheet.</t>
  </si>
  <si>
    <t>As Projected in Prior Year WS F   Rev Require</t>
  </si>
  <si>
    <t>As Projected in Prior Year WS F    W Incentives</t>
  </si>
  <si>
    <t>Actual after True-up Rev Require</t>
  </si>
  <si>
    <t>Actual after True-up  W Incentives</t>
  </si>
  <si>
    <r>
      <t>Worksheet F</t>
    </r>
    <r>
      <rPr>
        <sz val="14"/>
        <rFont val="Arial"/>
        <family val="2"/>
      </rPr>
      <t xml:space="preserve"> - Calculation of PROJECTED Annual Revenue Requirement for BPU and Special-billed Projects</t>
    </r>
  </si>
  <si>
    <r>
      <t>Worksheet G</t>
    </r>
    <r>
      <rPr>
        <sz val="14"/>
        <rFont val="Arial"/>
        <family val="2"/>
      </rPr>
      <t xml:space="preserve"> - Calculation of TRUED-UP Annual Revenue Requirement for BPU and Special-billed Projects</t>
    </r>
  </si>
  <si>
    <t>Worksheet F --- DATA INPUT (Paste.Values) from TEMPLATE PSO WS F</t>
  </si>
  <si>
    <t>&lt;----Worksheet data is for</t>
  </si>
  <si>
    <t>Worksheet F</t>
  </si>
  <si>
    <t>Worksheet G</t>
  </si>
  <si>
    <r>
      <t>Worksheet G  --  PUBLIC SERVICE COMPANY OF OKLAHOMA  --  Calculation of "</t>
    </r>
    <r>
      <rPr>
        <b/>
        <u/>
        <sz val="16"/>
        <rFont val="Arial"/>
        <family val="2"/>
      </rPr>
      <t>Trued-Up</t>
    </r>
    <r>
      <rPr>
        <b/>
        <sz val="16"/>
        <rFont val="Arial"/>
        <family val="2"/>
      </rPr>
      <t>" ARR for SPP Base Plan Upgrade Projects</t>
    </r>
  </si>
  <si>
    <r>
      <t>Worksheet F  --  PUBLIC SERVICE COMPANY OF OKLAHOMA  --  Calculation of "</t>
    </r>
    <r>
      <rPr>
        <b/>
        <u/>
        <sz val="16"/>
        <rFont val="Arial"/>
        <family val="2"/>
      </rPr>
      <t>Projected</t>
    </r>
    <r>
      <rPr>
        <b/>
        <sz val="16"/>
        <rFont val="Arial"/>
        <family val="2"/>
      </rPr>
      <t>" ARR for SPP Base Plan Upgrade Projects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</si>
  <si>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</si>
  <si>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</si>
  <si>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 xml:space="preserve">(Worksheet F)    </t>
  </si>
  <si>
    <t xml:space="preserve">(Worksheet G)    </t>
  </si>
  <si>
    <t>basis points</t>
  </si>
  <si>
    <t>w/Incentives</t>
  </si>
  <si>
    <t xml:space="preserve">Prior Year Projected  (WS-F)  </t>
  </si>
  <si>
    <t xml:space="preserve">Prior Year True-Up  (WS-G)  </t>
  </si>
  <si>
    <t xml:space="preserve">True-Up Adjustment  </t>
  </si>
  <si>
    <t>AEP Transmission Formula Rate Template</t>
  </si>
  <si>
    <t xml:space="preserve">AEP Schedule 11 Revenue Requirement Including True-Up of Prior Collections </t>
  </si>
  <si>
    <t>(A)</t>
  </si>
  <si>
    <t>(B)</t>
  </si>
  <si>
    <t>(C )</t>
  </si>
  <si>
    <t>(D)</t>
  </si>
  <si>
    <t>(E)</t>
  </si>
  <si>
    <t>(F)</t>
  </si>
  <si>
    <t>(H)</t>
  </si>
  <si>
    <t>(I)</t>
  </si>
  <si>
    <t>(M)</t>
  </si>
  <si>
    <t>Base ARR</t>
  </si>
  <si>
    <t>Owner</t>
  </si>
  <si>
    <t>Year in Service</t>
  </si>
  <si>
    <t>Incentive</t>
  </si>
  <si>
    <t>Total</t>
  </si>
  <si>
    <t>True-up</t>
  </si>
  <si>
    <t>As Billed</t>
  </si>
  <si>
    <t>Change</t>
  </si>
  <si>
    <t>Interest</t>
  </si>
  <si>
    <t>PSO Total</t>
  </si>
  <si>
    <t>P.001</t>
  </si>
  <si>
    <t>Sheet Name</t>
  </si>
  <si>
    <t>P.002</t>
  </si>
  <si>
    <t>P.003</t>
  </si>
  <si>
    <t>P.004</t>
  </si>
  <si>
    <t>P.005</t>
  </si>
  <si>
    <t>P.006</t>
  </si>
  <si>
    <t>P.007</t>
  </si>
  <si>
    <t>P.008</t>
  </si>
  <si>
    <t>P.009</t>
  </si>
  <si>
    <t>Indirect References</t>
  </si>
  <si>
    <r>
      <t xml:space="preserve">Calculation of Schedule </t>
    </r>
    <r>
      <rPr>
        <sz val="12"/>
        <rFont val="Arial"/>
        <family val="2"/>
      </rPr>
      <t>11 Revenue Requirements For AEP Transmission Projects</t>
    </r>
  </si>
  <si>
    <r>
      <t xml:space="preserve">   DO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delete this row or the formulas above will not work.</t>
    </r>
  </si>
  <si>
    <t>from WS-F &amp; G</t>
  </si>
  <si>
    <t>Do NOT delete.</t>
  </si>
  <si>
    <r>
      <t xml:space="preserve">TRUE-UP Adjustment </t>
    </r>
    <r>
      <rPr>
        <sz val="10"/>
        <rFont val="Arial"/>
        <family val="2"/>
      </rPr>
      <t>(WS-G)</t>
    </r>
  </si>
  <si>
    <r>
      <t xml:space="preserve">Base ARR
</t>
    </r>
    <r>
      <rPr>
        <sz val="10"/>
        <rFont val="Arial"/>
        <family val="2"/>
      </rPr>
      <t>(WS-F)</t>
    </r>
  </si>
  <si>
    <t>COLLECTION Adjustment</t>
  </si>
  <si>
    <t>Incentive ARR</t>
  </si>
  <si>
    <t>(J)</t>
  </si>
  <si>
    <t>(L)</t>
  </si>
  <si>
    <t>(O)</t>
  </si>
  <si>
    <t>Total Adjustments before Interest</t>
  </si>
  <si>
    <t>the column above</t>
  </si>
  <si>
    <t>is used to feed interest</t>
  </si>
  <si>
    <t>calculation engine and its</t>
  </si>
  <si>
    <t>output is put into the interest</t>
  </si>
  <si>
    <t>PROJECTED Rev. Req't From Prior Year Template</t>
  </si>
  <si>
    <t>Catoosa 138 kV Device (Cap. Bank)</t>
  </si>
  <si>
    <t>Cache-Snyder to Altus Jct. 138 kV line (w/2 ring bus stations)</t>
  </si>
  <si>
    <t>WFEC New 138 kV Ties: Sayre to Erick (WFEC) Line &amp; Atoka and Tupelo station work</t>
  </si>
  <si>
    <t>Riverside-Glenpool (81-523) Reconductor</t>
  </si>
  <si>
    <t>Craig Jct. to Broken Bow Dam 138 Rebuild (7.7mi)</t>
  </si>
  <si>
    <t>TRUE-UP Rev. Req't.From Prior Year Template</t>
  </si>
  <si>
    <t xml:space="preserve"> Worksheet G</t>
  </si>
  <si>
    <r>
      <t xml:space="preserve">As Billed
by SPP
</t>
    </r>
    <r>
      <rPr>
        <sz val="10"/>
        <rFont val="Arial"/>
        <family val="2"/>
      </rPr>
      <t>(for Prior Yr
T-Service)</t>
    </r>
  </si>
  <si>
    <t>Elk City - Elk City 69 kV line (CT Upgrades)*</t>
  </si>
  <si>
    <t>Weleetka &amp; Okmulgee Wavetrap replacement 81-805*</t>
  </si>
  <si>
    <t>Tulsa Southeast Upgrade (repl switches)*</t>
  </si>
  <si>
    <t>*&lt;$100K investment</t>
  </si>
  <si>
    <t xml:space="preserve">∑ Prior Year True-Up  (WS-G)  </t>
  </si>
  <si>
    <t xml:space="preserve">∑ Prior Year Projected  (WS-F)  </t>
  </si>
  <si>
    <r>
      <t xml:space="preserve">Total Adjustments
</t>
    </r>
    <r>
      <rPr>
        <sz val="8"/>
        <rFont val="Arial"/>
        <family val="2"/>
      </rPr>
      <t>(True-Up, Billing, &amp; Interest)</t>
    </r>
  </si>
  <si>
    <t>TP2009011</t>
  </si>
  <si>
    <t>P.010</t>
  </si>
  <si>
    <t>Projected ADJUSTED ARR from Prior Update</t>
  </si>
  <si>
    <t>*</t>
  </si>
  <si>
    <t>column to left (Q).</t>
  </si>
  <si>
    <t>Investment (EOY)</t>
  </si>
  <si>
    <t>Worksheet G ---- DATA INPUT (Paste.Values) from main FR TEMPLATE PSO WS G</t>
  </si>
  <si>
    <t>TP2008079-PSO</t>
  </si>
  <si>
    <t>Bartlesville SE to Coffeyville T Rebuild</t>
  </si>
  <si>
    <t>P.011</t>
  </si>
  <si>
    <t xml:space="preserve">   Determine R  (cost of long term debt, cost of preferred stock and percent is from Projected TCOS, lns 147 through 149)</t>
  </si>
  <si>
    <t xml:space="preserve">   Rate Base  (True-Up TCOS, ln 63)</t>
  </si>
  <si>
    <t xml:space="preserve">   Net Transmission Plant  (True-Up TCOS, ln 39)</t>
  </si>
  <si>
    <t xml:space="preserve">   FCR less Depreciation  (True-Up TCOS, ln 12)</t>
  </si>
  <si>
    <t xml:space="preserve">   Determine R  (cost of long term debt, cost of preferred stock and percent is from True-Up TCOS, lns 134 through 136)</t>
  </si>
  <si>
    <t>TP2009095-PSO</t>
  </si>
  <si>
    <t>Canadian River - McAlester City 138 kV Line Conversion</t>
  </si>
  <si>
    <t>P.012</t>
  </si>
  <si>
    <t>TP2008013</t>
  </si>
  <si>
    <t>P.013</t>
  </si>
  <si>
    <t>TP2009092</t>
  </si>
  <si>
    <t>Ashdown West - Craig Junction</t>
  </si>
  <si>
    <t>P.014</t>
  </si>
  <si>
    <t>NOTE:</t>
  </si>
  <si>
    <t>To INSERT a new project line item (row)</t>
  </si>
  <si>
    <t>1.   Insert blank row(s) for new project(s) between TOTAL row and existing last project row.</t>
  </si>
  <si>
    <t>2.  Copy entire contents of last project Row, then Paste into new blank row(s), again….leave 1 blank row to maintain summing formulas.</t>
  </si>
  <si>
    <t>0a.  Always maintain a blank row between TOTAL and last project (this maintains summing formulas in Totalization row.</t>
  </si>
  <si>
    <t>0b.   Always add and fill out new P.0xx Project Sheet(s) before inserting rows on this summary sheet.</t>
  </si>
  <si>
    <t>3.  In the SheetName column in this sheet…change the P.0xx type number(s) to match the corresponding newly added P.0xx sheets.</t>
  </si>
  <si>
    <t>WFEC DA Adjustment</t>
  </si>
  <si>
    <t>TP2009093</t>
  </si>
  <si>
    <t>Locust Grove to Lone Star 115 kV Rebuild 2.1 miles</t>
  </si>
  <si>
    <t>TP2011093</t>
  </si>
  <si>
    <t>Cornville Station Conversion</t>
  </si>
  <si>
    <t>P.015</t>
  </si>
  <si>
    <t>P.016</t>
  </si>
  <si>
    <t>Wavetrap Clinton City-Foss Tap 69kV Ckt 1*</t>
  </si>
  <si>
    <t>CoffeyvilleT to Dearing 138 kv Rebuild - 1.1 mi*</t>
  </si>
  <si>
    <t>Note:  Project's whose investment cost do NOT meet SPP's $100,000 threshold for 'regional' socialization are marked with an asterik "*" as SPP will only collect those ATRRs from the zone.</t>
  </si>
  <si>
    <t xml:space="preserve">  SPP Project ID = 649</t>
  </si>
  <si>
    <t xml:space="preserve">  SPP Project ID = 30346</t>
  </si>
  <si>
    <t>NOTE:  Original NTC indicates only 94% to be Base Plan.</t>
  </si>
  <si>
    <t>&lt;&lt; 2014-present ARR values based on 94% actual cost.  Yrs 2011-13 ARR values based on 100% actual cost (SPP scaled ARR data) &gt;&gt;</t>
  </si>
  <si>
    <t>Grady Customer Connection</t>
  </si>
  <si>
    <t>Darlington-Red Rock 138 kV line</t>
  </si>
  <si>
    <t>P.017</t>
  </si>
  <si>
    <t>P.018</t>
  </si>
  <si>
    <t>***Sch. 11 recovery commenced in 2015 rate year***</t>
  </si>
  <si>
    <t xml:space="preserve"> &lt;--- this value goes to sched 11 interest support file - line 17</t>
  </si>
  <si>
    <t>2013</t>
  </si>
  <si>
    <t>2014</t>
  </si>
  <si>
    <t>TP2012112</t>
  </si>
  <si>
    <t xml:space="preserve">***Sch. 11 recovery commenced in the 2015 rate year.  Beg Bal = to depreciated balance as of 1/1/15. *** </t>
  </si>
  <si>
    <t>P.019</t>
  </si>
  <si>
    <t>P.020</t>
  </si>
  <si>
    <t>P.021</t>
  </si>
  <si>
    <t>P.022</t>
  </si>
  <si>
    <t>Darlington-Roman Nose 138 kV</t>
  </si>
  <si>
    <t>Northeastern Station 138 kV Terminal Upgrades</t>
  </si>
  <si>
    <t>Valliant-NW Texarkana 345 kV</t>
  </si>
  <si>
    <t>Sayre 138 kV Capacitor Bank Addition</t>
  </si>
  <si>
    <t>&lt;==From Input on Worksheet A</t>
  </si>
  <si>
    <t>Current Projected Year ARR</t>
  </si>
  <si>
    <t>Current Projected Year ARR w/ Incentive</t>
  </si>
  <si>
    <t>Beg/Ending 
Average
Revenue</t>
  </si>
  <si>
    <t>Beg/Ending
Average
Revenue Req't.</t>
  </si>
  <si>
    <t xml:space="preserve">       Taxable Percentage of Revenue (22%)</t>
  </si>
  <si>
    <t xml:space="preserve">Worksheet F </t>
  </si>
  <si>
    <t>TP2013002</t>
  </si>
  <si>
    <t xml:space="preserve">  SPP Project ID = 30748</t>
  </si>
  <si>
    <t xml:space="preserve">  SPP Project ID = 770</t>
  </si>
  <si>
    <t xml:space="preserve">  SPP Project ID = 295</t>
  </si>
  <si>
    <t xml:space="preserve">  SPP Project ID = 767</t>
  </si>
  <si>
    <t>TP2009089</t>
  </si>
  <si>
    <t xml:space="preserve">  SPP Project ID = 936</t>
  </si>
  <si>
    <t>TP2015202</t>
  </si>
  <si>
    <t xml:space="preserve">  SPP Project ID = 30997</t>
  </si>
  <si>
    <t>TP2015027</t>
  </si>
  <si>
    <t xml:space="preserve">  SPP Project ID = 30619</t>
  </si>
  <si>
    <t>TP2015169</t>
  </si>
  <si>
    <t xml:space="preserve">  SPP Project ID = 31003</t>
  </si>
  <si>
    <t>Elk City 138KV Move Load</t>
  </si>
  <si>
    <t>TP2011110</t>
  </si>
  <si>
    <t xml:space="preserve">  SPP Project ID = 31005</t>
  </si>
  <si>
    <t>Duncan-Comanche Tap 69 KV Rebuild</t>
  </si>
  <si>
    <t>TP2015191</t>
  </si>
  <si>
    <t xml:space="preserve">  SPP Project ID = 31009</t>
  </si>
  <si>
    <t>P.023</t>
  </si>
  <si>
    <t>P.024</t>
  </si>
  <si>
    <t xml:space="preserve">   ROE w/o incentives  (True-Up TCOS, ln 135)</t>
  </si>
  <si>
    <t xml:space="preserve">   Tax Rate  (True-Up TCOS, ln 105)</t>
  </si>
  <si>
    <t xml:space="preserve">   ITC Adjustment  (True-Up TCOS, ln 102)</t>
  </si>
  <si>
    <t xml:space="preserve">   Net Revenue Requirement  (True-Up TCOS, ln 109)</t>
  </si>
  <si>
    <t xml:space="preserve">   Return  (True-Up TCOS, ln 104)</t>
  </si>
  <si>
    <t xml:space="preserve">   Income Taxes  (True-Up TCOS, ln 103)</t>
  </si>
  <si>
    <t xml:space="preserve">  Gross Margin Taxes  (True-Up TCOS, ln 108)</t>
  </si>
  <si>
    <t xml:space="preserve">   Less: Depreciation  (True-Up TCOS, ln 82)</t>
  </si>
  <si>
    <t>Annual Depreciation Expense  (True-Up TCOS, ln 82)</t>
  </si>
  <si>
    <t>Fort Towson-Valliant Line Rebuild</t>
  </si>
  <si>
    <t>TP2015204</t>
  </si>
  <si>
    <t>P.025</t>
  </si>
  <si>
    <t>Transmission Plant Average Balance for 2018</t>
  </si>
  <si>
    <t xml:space="preserve">   Excess DFIT Adjustment  (TCOS, ln 109)</t>
  </si>
  <si>
    <t xml:space="preserve">   Tax Effect of Permanent and Flow Through Differences (TCOS, ln 110)</t>
  </si>
  <si>
    <t>21% &amp; 11.2 ROE</t>
  </si>
  <si>
    <t>35% &amp; 11.2 ROE</t>
  </si>
  <si>
    <t>E - F</t>
  </si>
  <si>
    <t xml:space="preserve">   Net Transmission Plant  (TCOS, ln 37)</t>
  </si>
  <si>
    <t>P.026</t>
  </si>
  <si>
    <t>P.027</t>
  </si>
  <si>
    <t>Tulsa Southeast - E. 61st St 138 kV Rebuild</t>
  </si>
  <si>
    <t>Broken Arrow North-Lynn Lane East 138 kV</t>
  </si>
  <si>
    <t>TP2017011</t>
  </si>
  <si>
    <t>TP2017016</t>
  </si>
  <si>
    <t>Keystone Dam - Wekiwa 138 kV</t>
  </si>
  <si>
    <t xml:space="preserve">  SPP Project ID = 41233</t>
  </si>
  <si>
    <t>P.028</t>
  </si>
  <si>
    <t>TP2015118</t>
  </si>
  <si>
    <t xml:space="preserve">  SPP Project ID = 30809</t>
  </si>
  <si>
    <t xml:space="preserve">  SPP Project ID = 41202</t>
  </si>
  <si>
    <t xml:space="preserve">  SPP Project ID = 31058</t>
  </si>
  <si>
    <t xml:space="preserve">  SPP Project ID = 30746</t>
  </si>
  <si>
    <t xml:space="preserve">  SPP Project ID = 446</t>
  </si>
  <si>
    <t xml:space="preserve">  SPP Project ID = 289</t>
  </si>
  <si>
    <t xml:space="preserve">  SPP Project ID = 46</t>
  </si>
  <si>
    <t xml:space="preserve">  SPP Project ID = 3</t>
  </si>
  <si>
    <t xml:space="preserve">  SPP Project ID = 118</t>
  </si>
  <si>
    <t xml:space="preserve">  SPP Project ID = 110</t>
  </si>
  <si>
    <t xml:space="preserve">  SPP Project ID = 30001</t>
  </si>
  <si>
    <t xml:space="preserve">  SPP Project ID = 106</t>
  </si>
  <si>
    <t xml:space="preserve">  SPP Project ID = 112</t>
  </si>
  <si>
    <t xml:space="preserve">  SPP Project ID = 230</t>
  </si>
  <si>
    <t xml:space="preserve">  SPP Project ID = 220</t>
  </si>
  <si>
    <t>Projected Year</t>
  </si>
  <si>
    <t xml:space="preserve">   ROE w/o incentives  (TCOS, ln 143)</t>
  </si>
  <si>
    <t xml:space="preserve">   Rate Base  (TCOS, ln 63)</t>
  </si>
  <si>
    <t xml:space="preserve">   Tax Rate  (TCOS, ln 99)</t>
  </si>
  <si>
    <t xml:space="preserve">   ITC Adjustment  (TCOS, ln 108)</t>
  </si>
  <si>
    <t xml:space="preserve">   Tax Effect of Permanent and Flow Through Differences  (TCOS, ln 110)</t>
  </si>
  <si>
    <t xml:space="preserve">   Net Revenue Requirement  (TCOS, ln 117)</t>
  </si>
  <si>
    <t xml:space="preserve">   Return  (TCOS, ln 112)</t>
  </si>
  <si>
    <t xml:space="preserve">   Income Taxes  (TCOS, ln 111)</t>
  </si>
  <si>
    <t xml:space="preserve">  Gross Margin Taxes  (TCOS, ln 116)</t>
  </si>
  <si>
    <t xml:space="preserve">   Less: Depreciation  (TCOS, ln 86)</t>
  </si>
  <si>
    <t xml:space="preserve">   FCR less Depreciation  (TCOS, ln 10)</t>
  </si>
  <si>
    <t>Annual Depreciation Expense  (TCOS, ln 86)</t>
  </si>
  <si>
    <t>Pryor Junction 138/115 kV</t>
  </si>
  <si>
    <t>TP2019132</t>
  </si>
  <si>
    <t xml:space="preserve">  SPP Project ID = 81571</t>
  </si>
  <si>
    <t>Tulsa SE - E 21st St Tap 138 kV</t>
  </si>
  <si>
    <t>TP2020033</t>
  </si>
  <si>
    <t xml:space="preserve">  SPP Project ID = 81523</t>
  </si>
  <si>
    <t>Tulsa SE - S Hudson 138 kV</t>
  </si>
  <si>
    <t>TP20033002</t>
  </si>
  <si>
    <t xml:space="preserve">  SPP Project ID = 81520</t>
  </si>
  <si>
    <t>P.029</t>
  </si>
  <si>
    <t>P.030</t>
  </si>
  <si>
    <t>P.031</t>
  </si>
  <si>
    <t>Transmission Plant Average Balance for 2022 (WS A-1 Ln 14 Col (d))</t>
  </si>
  <si>
    <t>Name check</t>
  </si>
  <si>
    <t>TP2021281</t>
  </si>
  <si>
    <t>TP2020266</t>
  </si>
  <si>
    <t>P.032</t>
  </si>
  <si>
    <t>P.033</t>
  </si>
  <si>
    <t xml:space="preserve">  SPP Project ID = 92114</t>
  </si>
  <si>
    <t xml:space="preserve">  SPP Project ID = 81717</t>
  </si>
  <si>
    <t>True-Up ARR CY 2022 From Worksheet G  (includes adjustment for SPP Collections)</t>
  </si>
  <si>
    <t>Catoosa-Blue Circle rebuild</t>
  </si>
  <si>
    <t>Chisholm Substation 345 kV Terminal Upgrades</t>
  </si>
  <si>
    <t>Riverside-Glenpool (TP2006087)</t>
  </si>
  <si>
    <t>Craig Jct-Broken Bow (TP2007059)</t>
  </si>
  <si>
    <t>WFEC new ties (TP2006054)</t>
  </si>
  <si>
    <t>Cache-Snyder (TP2004147)</t>
  </si>
  <si>
    <t>Catoosa 138 kV Device</t>
  </si>
  <si>
    <t>Pryor Jct 138/60 Upgrade autoxfmr  (TP2006090)</t>
  </si>
  <si>
    <t>Elk City-Elk City 69 CT upgrades (TP2007015)</t>
  </si>
  <si>
    <t>Weleetka &amp; Okmulgee wavetrap r&amp;r 81-805 (TP2005046)</t>
  </si>
  <si>
    <t>Tulsa SE r&amp;r switches (TP2004033)</t>
  </si>
  <si>
    <t>Clinton City-Foss 69 wavetrap r&amp;r (TP2009011)</t>
  </si>
  <si>
    <t>Bartlesville SE to Coffeyville T Rebuild (TP2008079-PSO)</t>
  </si>
  <si>
    <t>Canadian River - McAlester City 138 kV Line Conversion (TP2009095)</t>
  </si>
  <si>
    <t>CoffeyvilleT to Dearing 138 kv Rebuild - 1.1 mi (TP2008013)</t>
  </si>
  <si>
    <t>Ashdown West - Craig Junction 138KV Rebuild (TP2009092)</t>
  </si>
  <si>
    <t>Locust Grove to Lone Star 115 kV Rebuild 2.1 miles (TP2009093)</t>
  </si>
  <si>
    <t>Cornville Station Conversion (TP2011093)</t>
  </si>
  <si>
    <t>Elk City 138 kV Move Load</t>
  </si>
  <si>
    <t>Duncan-Comanche Tap 69 kV Rebuild and Duncan station upgrades</t>
  </si>
  <si>
    <t>Tulsa Southeast-E.61st 138 kV Rebuild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</si>
</sst>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"/>
    <numFmt numFmtId="166" formatCode="#,##0.0000"/>
    <numFmt numFmtId="167" formatCode="0.0000"/>
    <numFmt numFmtId="168" formatCode="&quot;$&quot;#,##0"/>
    <numFmt numFmtId="169" formatCode="&quot;$&quot;#,##0.00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.0000_);_(* \(#,##0.0000\);_(* &quot;-&quot;????_);_(@_)"/>
    <numFmt numFmtId="173" formatCode="_(* #,##0.0000_);_(* \(#,##0.0000\);_(* &quot;-&quot;_);_(@_)"/>
    <numFmt numFmtId="174" formatCode="_(* #,##0.00000_);_(* \(#,##0.00000\);_(* &quot;-&quot;??_);_(@_)"/>
    <numFmt numFmtId="175" formatCode="_(&quot;$&quot;* #,##0.0000000_);_(&quot;$&quot;* \(#,##0.0000000\);_(&quot;$&quot;* &quot;-&quot;??_);_(@_)"/>
    <numFmt numFmtId="176" formatCode="_(* #,##0.0000000000_);_(* \(#,##0.0000000000\);_(* &quot;-&quot;??_);_(@_)"/>
    <numFmt numFmtId="177" formatCode="_(* #,##0.000000_);_(* \(#,##0.000000\);_(* &quot;-&quot;??_);_(@_)"/>
    <numFmt numFmtId="178" formatCode="&quot;$&quot;#,##0\ ;\(&quot;$&quot;#,##0\)"/>
    <numFmt numFmtId="179" formatCode="_(* #,##0.0,_);_(* \(#,##0.0,\);_(* &quot;-   &quot;_);_(@_)"/>
    <numFmt numFmtId="180" formatCode="0.0000%"/>
    <numFmt numFmtId="181" formatCode="_(* #,##0.000_);_(* \(#,##0.000\);_(* &quot;-&quot;??_);_(@_)"/>
  </numFmts>
  <fonts count="123">
    <font>
      <sz val="10"/>
      <name val="Arial"/>
    </font>
    <font>
      <sz val="10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8"/>
      <name val="Arial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sz val="12"/>
      <name val="Arial MT"/>
    </font>
    <font>
      <b/>
      <sz val="11"/>
      <color indexed="63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sz val="14"/>
      <name val="Arial"/>
      <family val="2"/>
    </font>
    <font>
      <b/>
      <sz val="14"/>
      <name val="MS Serif"/>
      <family val="1"/>
    </font>
    <font>
      <u/>
      <sz val="10"/>
      <name val="Arial"/>
      <family val="2"/>
    </font>
    <font>
      <sz val="10"/>
      <name val="MS Serif"/>
      <family val="1"/>
    </font>
    <font>
      <b/>
      <sz val="16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57"/>
      <name val="Arial"/>
      <family val="2"/>
    </font>
    <font>
      <sz val="14"/>
      <color indexed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2"/>
      <color indexed="12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i/>
      <sz val="8"/>
      <color indexed="81"/>
      <name val="Tahoma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0"/>
      <color indexed="8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FF"/>
      <name val="Arial"/>
      <family val="2"/>
    </font>
    <font>
      <sz val="1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5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5">
    <xf numFmtId="0" fontId="0" fillId="0" borderId="0"/>
    <xf numFmtId="0" fontId="2" fillId="2" borderId="0" applyNumberFormat="0" applyBorder="0" applyAlignment="0" applyProtection="0"/>
    <xf numFmtId="0" fontId="104" fillId="30" borderId="0" applyNumberFormat="0" applyBorder="0" applyAlignment="0" applyProtection="0"/>
    <xf numFmtId="0" fontId="81" fillId="2" borderId="0" applyNumberFormat="0" applyBorder="0" applyAlignment="0" applyProtection="0"/>
    <xf numFmtId="0" fontId="2" fillId="3" borderId="0" applyNumberFormat="0" applyBorder="0" applyAlignment="0" applyProtection="0"/>
    <xf numFmtId="0" fontId="104" fillId="31" borderId="0" applyNumberFormat="0" applyBorder="0" applyAlignment="0" applyProtection="0"/>
    <xf numFmtId="0" fontId="81" fillId="3" borderId="0" applyNumberFormat="0" applyBorder="0" applyAlignment="0" applyProtection="0"/>
    <xf numFmtId="0" fontId="2" fillId="4" borderId="0" applyNumberFormat="0" applyBorder="0" applyAlignment="0" applyProtection="0"/>
    <xf numFmtId="0" fontId="104" fillId="32" borderId="0" applyNumberFormat="0" applyBorder="0" applyAlignment="0" applyProtection="0"/>
    <xf numFmtId="0" fontId="81" fillId="4" borderId="0" applyNumberFormat="0" applyBorder="0" applyAlignment="0" applyProtection="0"/>
    <xf numFmtId="0" fontId="2" fillId="5" borderId="0" applyNumberFormat="0" applyBorder="0" applyAlignment="0" applyProtection="0"/>
    <xf numFmtId="0" fontId="104" fillId="33" borderId="0" applyNumberFormat="0" applyBorder="0" applyAlignment="0" applyProtection="0"/>
    <xf numFmtId="0" fontId="81" fillId="5" borderId="0" applyNumberFormat="0" applyBorder="0" applyAlignment="0" applyProtection="0"/>
    <xf numFmtId="0" fontId="2" fillId="6" borderId="0" applyNumberFormat="0" applyBorder="0" applyAlignment="0" applyProtection="0"/>
    <xf numFmtId="0" fontId="104" fillId="34" borderId="0" applyNumberFormat="0" applyBorder="0" applyAlignment="0" applyProtection="0"/>
    <xf numFmtId="0" fontId="81" fillId="6" borderId="0" applyNumberFormat="0" applyBorder="0" applyAlignment="0" applyProtection="0"/>
    <xf numFmtId="0" fontId="2" fillId="7" borderId="0" applyNumberFormat="0" applyBorder="0" applyAlignment="0" applyProtection="0"/>
    <xf numFmtId="0" fontId="104" fillId="35" borderId="0" applyNumberFormat="0" applyBorder="0" applyAlignment="0" applyProtection="0"/>
    <xf numFmtId="0" fontId="81" fillId="7" borderId="0" applyNumberFormat="0" applyBorder="0" applyAlignment="0" applyProtection="0"/>
    <xf numFmtId="0" fontId="2" fillId="8" borderId="0" applyNumberFormat="0" applyBorder="0" applyAlignment="0" applyProtection="0"/>
    <xf numFmtId="0" fontId="104" fillId="36" borderId="0" applyNumberFormat="0" applyBorder="0" applyAlignment="0" applyProtection="0"/>
    <xf numFmtId="0" fontId="81" fillId="8" borderId="0" applyNumberFormat="0" applyBorder="0" applyAlignment="0" applyProtection="0"/>
    <xf numFmtId="0" fontId="2" fillId="9" borderId="0" applyNumberFormat="0" applyBorder="0" applyAlignment="0" applyProtection="0"/>
    <xf numFmtId="0" fontId="104" fillId="37" borderId="0" applyNumberFormat="0" applyBorder="0" applyAlignment="0" applyProtection="0"/>
    <xf numFmtId="0" fontId="81" fillId="9" borderId="0" applyNumberFormat="0" applyBorder="0" applyAlignment="0" applyProtection="0"/>
    <xf numFmtId="0" fontId="2" fillId="10" borderId="0" applyNumberFormat="0" applyBorder="0" applyAlignment="0" applyProtection="0"/>
    <xf numFmtId="0" fontId="104" fillId="38" borderId="0" applyNumberFormat="0" applyBorder="0" applyAlignment="0" applyProtection="0"/>
    <xf numFmtId="0" fontId="81" fillId="10" borderId="0" applyNumberFormat="0" applyBorder="0" applyAlignment="0" applyProtection="0"/>
    <xf numFmtId="0" fontId="2" fillId="5" borderId="0" applyNumberFormat="0" applyBorder="0" applyAlignment="0" applyProtection="0"/>
    <xf numFmtId="0" fontId="104" fillId="39" borderId="0" applyNumberFormat="0" applyBorder="0" applyAlignment="0" applyProtection="0"/>
    <xf numFmtId="0" fontId="81" fillId="5" borderId="0" applyNumberFormat="0" applyBorder="0" applyAlignment="0" applyProtection="0"/>
    <xf numFmtId="0" fontId="2" fillId="8" borderId="0" applyNumberFormat="0" applyBorder="0" applyAlignment="0" applyProtection="0"/>
    <xf numFmtId="0" fontId="104" fillId="40" borderId="0" applyNumberFormat="0" applyBorder="0" applyAlignment="0" applyProtection="0"/>
    <xf numFmtId="0" fontId="81" fillId="8" borderId="0" applyNumberFormat="0" applyBorder="0" applyAlignment="0" applyProtection="0"/>
    <xf numFmtId="0" fontId="2" fillId="11" borderId="0" applyNumberFormat="0" applyBorder="0" applyAlignment="0" applyProtection="0"/>
    <xf numFmtId="0" fontId="104" fillId="41" borderId="0" applyNumberFormat="0" applyBorder="0" applyAlignment="0" applyProtection="0"/>
    <xf numFmtId="0" fontId="81" fillId="11" borderId="0" applyNumberFormat="0" applyBorder="0" applyAlignment="0" applyProtection="0"/>
    <xf numFmtId="0" fontId="3" fillId="12" borderId="0" applyNumberFormat="0" applyBorder="0" applyAlignment="0" applyProtection="0"/>
    <xf numFmtId="0" fontId="105" fillId="42" borderId="0" applyNumberFormat="0" applyBorder="0" applyAlignment="0" applyProtection="0"/>
    <xf numFmtId="0" fontId="87" fillId="12" borderId="0" applyNumberFormat="0" applyBorder="0" applyAlignment="0" applyProtection="0"/>
    <xf numFmtId="0" fontId="3" fillId="9" borderId="0" applyNumberFormat="0" applyBorder="0" applyAlignment="0" applyProtection="0"/>
    <xf numFmtId="0" fontId="105" fillId="43" borderId="0" applyNumberFormat="0" applyBorder="0" applyAlignment="0" applyProtection="0"/>
    <xf numFmtId="0" fontId="87" fillId="9" borderId="0" applyNumberFormat="0" applyBorder="0" applyAlignment="0" applyProtection="0"/>
    <xf numFmtId="0" fontId="3" fillId="10" borderId="0" applyNumberFormat="0" applyBorder="0" applyAlignment="0" applyProtection="0"/>
    <xf numFmtId="0" fontId="105" fillId="44" borderId="0" applyNumberFormat="0" applyBorder="0" applyAlignment="0" applyProtection="0"/>
    <xf numFmtId="0" fontId="87" fillId="10" borderId="0" applyNumberFormat="0" applyBorder="0" applyAlignment="0" applyProtection="0"/>
    <xf numFmtId="0" fontId="3" fillId="13" borderId="0" applyNumberFormat="0" applyBorder="0" applyAlignment="0" applyProtection="0"/>
    <xf numFmtId="0" fontId="105" fillId="45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46" borderId="0" applyNumberFormat="0" applyBorder="0" applyAlignment="0" applyProtection="0"/>
    <xf numFmtId="0" fontId="87" fillId="14" borderId="0" applyNumberFormat="0" applyBorder="0" applyAlignment="0" applyProtection="0"/>
    <xf numFmtId="0" fontId="3" fillId="15" borderId="0" applyNumberFormat="0" applyBorder="0" applyAlignment="0" applyProtection="0"/>
    <xf numFmtId="0" fontId="105" fillId="47" borderId="0" applyNumberFormat="0" applyBorder="0" applyAlignment="0" applyProtection="0"/>
    <xf numFmtId="0" fontId="87" fillId="15" borderId="0" applyNumberFormat="0" applyBorder="0" applyAlignment="0" applyProtection="0"/>
    <xf numFmtId="0" fontId="3" fillId="16" borderId="0" applyNumberFormat="0" applyBorder="0" applyAlignment="0" applyProtection="0"/>
    <xf numFmtId="0" fontId="105" fillId="48" borderId="0" applyNumberFormat="0" applyBorder="0" applyAlignment="0" applyProtection="0"/>
    <xf numFmtId="0" fontId="87" fillId="16" borderId="0" applyNumberFormat="0" applyBorder="0" applyAlignment="0" applyProtection="0"/>
    <xf numFmtId="0" fontId="3" fillId="17" borderId="0" applyNumberFormat="0" applyBorder="0" applyAlignment="0" applyProtection="0"/>
    <xf numFmtId="0" fontId="105" fillId="49" borderId="0" applyNumberFormat="0" applyBorder="0" applyAlignment="0" applyProtection="0"/>
    <xf numFmtId="0" fontId="87" fillId="17" borderId="0" applyNumberFormat="0" applyBorder="0" applyAlignment="0" applyProtection="0"/>
    <xf numFmtId="0" fontId="3" fillId="18" borderId="0" applyNumberFormat="0" applyBorder="0" applyAlignment="0" applyProtection="0"/>
    <xf numFmtId="0" fontId="105" fillId="50" borderId="0" applyNumberFormat="0" applyBorder="0" applyAlignment="0" applyProtection="0"/>
    <xf numFmtId="0" fontId="87" fillId="18" borderId="0" applyNumberFormat="0" applyBorder="0" applyAlignment="0" applyProtection="0"/>
    <xf numFmtId="0" fontId="3" fillId="13" borderId="0" applyNumberFormat="0" applyBorder="0" applyAlignment="0" applyProtection="0"/>
    <xf numFmtId="0" fontId="105" fillId="51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52" borderId="0" applyNumberFormat="0" applyBorder="0" applyAlignment="0" applyProtection="0"/>
    <xf numFmtId="0" fontId="87" fillId="14" borderId="0" applyNumberFormat="0" applyBorder="0" applyAlignment="0" applyProtection="0"/>
    <xf numFmtId="0" fontId="3" fillId="19" borderId="0" applyNumberFormat="0" applyBorder="0" applyAlignment="0" applyProtection="0"/>
    <xf numFmtId="0" fontId="105" fillId="53" borderId="0" applyNumberFormat="0" applyBorder="0" applyAlignment="0" applyProtection="0"/>
    <xf numFmtId="0" fontId="87" fillId="19" borderId="0" applyNumberFormat="0" applyBorder="0" applyAlignment="0" applyProtection="0"/>
    <xf numFmtId="0" fontId="4" fillId="3" borderId="0" applyNumberFormat="0" applyBorder="0" applyAlignment="0" applyProtection="0"/>
    <xf numFmtId="0" fontId="106" fillId="54" borderId="0" applyNumberFormat="0" applyBorder="0" applyAlignment="0" applyProtection="0"/>
    <xf numFmtId="0" fontId="88" fillId="3" borderId="0" applyNumberFormat="0" applyBorder="0" applyAlignment="0" applyProtection="0"/>
    <xf numFmtId="169" fontId="5" fillId="0" borderId="0" applyFill="0"/>
    <xf numFmtId="169" fontId="5" fillId="0" borderId="0">
      <alignment horizontal="center"/>
    </xf>
    <xf numFmtId="0" fontId="5" fillId="0" borderId="0" applyFill="0">
      <alignment horizontal="center"/>
    </xf>
    <xf numFmtId="169" fontId="6" fillId="0" borderId="1" applyFill="0"/>
    <xf numFmtId="0" fontId="7" fillId="0" borderId="0" applyFont="0" applyAlignment="0"/>
    <xf numFmtId="0" fontId="7" fillId="0" borderId="0" applyFont="0" applyAlignment="0"/>
    <xf numFmtId="0" fontId="8" fillId="0" borderId="0" applyFill="0">
      <alignment vertical="top"/>
    </xf>
    <xf numFmtId="0" fontId="6" fillId="0" borderId="0" applyFill="0">
      <alignment horizontal="left" vertical="top"/>
    </xf>
    <xf numFmtId="169" fontId="9" fillId="0" borderId="2" applyFill="0"/>
    <xf numFmtId="0" fontId="7" fillId="0" borderId="0" applyNumberFormat="0" applyFont="0" applyAlignment="0"/>
    <xf numFmtId="0" fontId="7" fillId="0" borderId="0" applyNumberFormat="0" applyFont="0" applyAlignment="0"/>
    <xf numFmtId="0" fontId="8" fillId="0" borderId="0" applyFill="0">
      <alignment wrapText="1"/>
    </xf>
    <xf numFmtId="0" fontId="6" fillId="0" borderId="0" applyFill="0">
      <alignment horizontal="left" vertical="top" wrapText="1"/>
    </xf>
    <xf numFmtId="169" fontId="10" fillId="0" borderId="0" applyFill="0"/>
    <xf numFmtId="0" fontId="11" fillId="0" borderId="0" applyNumberFormat="0" applyFont="0" applyAlignment="0">
      <alignment horizontal="center"/>
    </xf>
    <xf numFmtId="0" fontId="12" fillId="0" borderId="0" applyFill="0">
      <alignment vertical="top" wrapText="1"/>
    </xf>
    <xf numFmtId="0" fontId="9" fillId="0" borderId="0" applyFill="0">
      <alignment horizontal="left" vertical="top" wrapText="1"/>
    </xf>
    <xf numFmtId="169" fontId="7" fillId="0" borderId="0" applyFill="0"/>
    <xf numFmtId="169" fontId="7" fillId="0" borderId="0" applyFill="0"/>
    <xf numFmtId="0" fontId="11" fillId="0" borderId="0" applyNumberFormat="0" applyFont="0" applyAlignment="0">
      <alignment horizontal="center"/>
    </xf>
    <xf numFmtId="0" fontId="13" fillId="0" borderId="0" applyFill="0">
      <alignment vertical="center" wrapText="1"/>
    </xf>
    <xf numFmtId="0" fontId="14" fillId="0" borderId="0">
      <alignment horizontal="left" vertical="center" wrapText="1"/>
    </xf>
    <xf numFmtId="169" fontId="15" fillId="0" borderId="0" applyFill="0"/>
    <xf numFmtId="0" fontId="11" fillId="0" borderId="0" applyNumberFormat="0" applyFont="0" applyAlignment="0">
      <alignment horizontal="center"/>
    </xf>
    <xf numFmtId="0" fontId="16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69" fontId="17" fillId="0" borderId="0" applyFill="0"/>
    <xf numFmtId="0" fontId="11" fillId="0" borderId="0" applyNumberFormat="0" applyFont="0" applyAlignment="0">
      <alignment horizontal="center"/>
    </xf>
    <xf numFmtId="0" fontId="18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69" fontId="20" fillId="0" borderId="0" applyFill="0"/>
    <xf numFmtId="0" fontId="11" fillId="0" borderId="0" applyNumberFormat="0" applyFont="0" applyAlignment="0">
      <alignment horizontal="center"/>
    </xf>
    <xf numFmtId="0" fontId="21" fillId="0" borderId="0">
      <alignment horizontal="center" wrapText="1"/>
    </xf>
    <xf numFmtId="0" fontId="17" fillId="0" borderId="0" applyFill="0">
      <alignment horizontal="center" wrapText="1"/>
    </xf>
    <xf numFmtId="0" fontId="22" fillId="20" borderId="3" applyNumberFormat="0" applyAlignment="0" applyProtection="0"/>
    <xf numFmtId="0" fontId="107" fillId="55" borderId="48" applyNumberFormat="0" applyAlignment="0" applyProtection="0"/>
    <xf numFmtId="0" fontId="89" fillId="20" borderId="3" applyNumberFormat="0" applyAlignment="0" applyProtection="0"/>
    <xf numFmtId="0" fontId="23" fillId="21" borderId="4" applyNumberFormat="0" applyAlignment="0" applyProtection="0"/>
    <xf numFmtId="0" fontId="108" fillId="56" borderId="49" applyNumberFormat="0" applyAlignment="0" applyProtection="0"/>
    <xf numFmtId="0" fontId="90" fillId="21" borderId="4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0" fontId="25" fillId="4" borderId="0" applyNumberFormat="0" applyBorder="0" applyAlignment="0" applyProtection="0"/>
    <xf numFmtId="0" fontId="110" fillId="57" borderId="0" applyNumberFormat="0" applyBorder="0" applyAlignment="0" applyProtection="0"/>
    <xf numFmtId="0" fontId="92" fillId="4" borderId="0" applyNumberFormat="0" applyBorder="0" applyAlignment="0" applyProtection="0"/>
    <xf numFmtId="0" fontId="26" fillId="0" borderId="0" applyFont="0" applyFill="0" applyBorder="0" applyAlignment="0" applyProtection="0"/>
    <xf numFmtId="0" fontId="111" fillId="0" borderId="50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112" fillId="0" borderId="51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113" fillId="0" borderId="52" applyNumberFormat="0" applyFill="0" applyAlignment="0" applyProtection="0"/>
    <xf numFmtId="0" fontId="93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8" fillId="0" borderId="6"/>
    <xf numFmtId="0" fontId="29" fillId="0" borderId="0"/>
    <xf numFmtId="0" fontId="30" fillId="7" borderId="3" applyNumberFormat="0" applyAlignment="0" applyProtection="0"/>
    <xf numFmtId="0" fontId="114" fillId="58" borderId="48" applyNumberFormat="0" applyAlignment="0" applyProtection="0"/>
    <xf numFmtId="0" fontId="94" fillId="7" borderId="3" applyNumberFormat="0" applyAlignment="0" applyProtection="0"/>
    <xf numFmtId="0" fontId="31" fillId="0" borderId="7" applyNumberFormat="0" applyFill="0" applyAlignment="0" applyProtection="0"/>
    <xf numFmtId="0" fontId="115" fillId="0" borderId="53" applyNumberFormat="0" applyFill="0" applyAlignment="0" applyProtection="0"/>
    <xf numFmtId="0" fontId="95" fillId="0" borderId="7" applyNumberFormat="0" applyFill="0" applyAlignment="0" applyProtection="0"/>
    <xf numFmtId="179" fontId="80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0" fontId="32" fillId="22" borderId="0" applyNumberFormat="0" applyBorder="0" applyAlignment="0" applyProtection="0"/>
    <xf numFmtId="0" fontId="116" fillId="59" borderId="0" applyNumberFormat="0" applyBorder="0" applyAlignment="0" applyProtection="0"/>
    <xf numFmtId="0" fontId="96" fillId="22" borderId="0" applyNumberFormat="0" applyBorder="0" applyAlignment="0" applyProtection="0"/>
    <xf numFmtId="0" fontId="104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3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103" fillId="0" borderId="0"/>
    <xf numFmtId="0" fontId="103" fillId="0" borderId="0"/>
    <xf numFmtId="0" fontId="103" fillId="0" borderId="0"/>
    <xf numFmtId="0" fontId="7" fillId="0" borderId="0"/>
    <xf numFmtId="3" fontId="7" fillId="0" borderId="0"/>
    <xf numFmtId="0" fontId="7" fillId="0" borderId="0"/>
    <xf numFmtId="0" fontId="35" fillId="0" borderId="0"/>
    <xf numFmtId="0" fontId="7" fillId="0" borderId="0"/>
    <xf numFmtId="0" fontId="35" fillId="0" borderId="0"/>
    <xf numFmtId="0" fontId="104" fillId="0" borderId="0"/>
    <xf numFmtId="0" fontId="35" fillId="0" borderId="0"/>
    <xf numFmtId="0" fontId="104" fillId="0" borderId="0"/>
    <xf numFmtId="0" fontId="7" fillId="0" borderId="0"/>
    <xf numFmtId="0" fontId="7" fillId="0" borderId="0"/>
    <xf numFmtId="0" fontId="104" fillId="0" borderId="0"/>
    <xf numFmtId="0" fontId="35" fillId="0" borderId="0"/>
    <xf numFmtId="0" fontId="104" fillId="0" borderId="0"/>
    <xf numFmtId="0" fontId="35" fillId="0" borderId="0"/>
    <xf numFmtId="169" fontId="33" fillId="0" borderId="0" applyProtection="0"/>
    <xf numFmtId="0" fontId="33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34" fillId="20" borderId="9" applyNumberFormat="0" applyAlignment="0" applyProtection="0"/>
    <xf numFmtId="0" fontId="117" fillId="55" borderId="55" applyNumberFormat="0" applyAlignment="0" applyProtection="0"/>
    <xf numFmtId="0" fontId="97" fillId="20" borderId="9" applyNumberFormat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7" fillId="0" borderId="0">
      <alignment horizontal="left" vertical="top"/>
    </xf>
    <xf numFmtId="3" fontId="7" fillId="0" borderId="0">
      <alignment horizontal="left" vertical="top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3" fontId="7" fillId="0" borderId="0">
      <alignment horizontal="right" vertical="top"/>
    </xf>
    <xf numFmtId="3" fontId="7" fillId="0" borderId="0">
      <alignment horizontal="right" vertical="top"/>
    </xf>
    <xf numFmtId="41" fontId="14" fillId="25" borderId="10" applyFill="0"/>
    <xf numFmtId="0" fontId="37" fillId="0" borderId="0">
      <alignment horizontal="left" indent="7"/>
    </xf>
    <xf numFmtId="41" fontId="14" fillId="0" borderId="10" applyFill="0">
      <alignment horizontal="left" indent="2"/>
    </xf>
    <xf numFmtId="169" fontId="38" fillId="0" borderId="11" applyFill="0">
      <alignment horizontal="right"/>
    </xf>
    <xf numFmtId="0" fontId="39" fillId="0" borderId="12" applyNumberFormat="0" applyFont="0" applyBorder="0">
      <alignment horizontal="right"/>
    </xf>
    <xf numFmtId="0" fontId="40" fillId="0" borderId="0" applyFill="0"/>
    <xf numFmtId="0" fontId="9" fillId="0" borderId="0" applyFill="0"/>
    <xf numFmtId="4" fontId="38" fillId="0" borderId="11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2" fillId="0" borderId="0" applyFill="0">
      <alignment horizontal="left" indent="1"/>
    </xf>
    <xf numFmtId="0" fontId="41" fillId="0" borderId="0" applyFill="0">
      <alignment horizontal="left" indent="1"/>
    </xf>
    <xf numFmtId="4" fontId="15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12" fillId="0" borderId="0" applyFill="0">
      <alignment horizontal="left" indent="2"/>
    </xf>
    <xf numFmtId="0" fontId="9" fillId="0" borderId="0" applyFill="0">
      <alignment horizontal="left" indent="2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42" fillId="0" borderId="0">
      <alignment horizontal="left" indent="3"/>
    </xf>
    <xf numFmtId="0" fontId="43" fillId="0" borderId="0" applyFill="0">
      <alignment horizontal="left" indent="3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6" fillId="0" borderId="0">
      <alignment horizontal="left" indent="4"/>
    </xf>
    <xf numFmtId="0" fontId="7" fillId="0" borderId="0" applyFill="0">
      <alignment horizontal="left" indent="4"/>
    </xf>
    <xf numFmtId="0" fontId="7" fillId="0" borderId="0" applyFill="0">
      <alignment horizontal="left" indent="4"/>
    </xf>
    <xf numFmtId="4" fontId="17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8" fillId="0" borderId="0">
      <alignment horizontal="left" indent="5"/>
    </xf>
    <xf numFmtId="0" fontId="19" fillId="0" borderId="0" applyFill="0">
      <alignment horizontal="left" indent="5"/>
    </xf>
    <xf numFmtId="4" fontId="20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21" fillId="0" borderId="0" applyFill="0">
      <alignment horizontal="left" indent="6"/>
    </xf>
    <xf numFmtId="0" fontId="17" fillId="0" borderId="0" applyFill="0">
      <alignment horizontal="left" indent="6"/>
    </xf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119" fillId="0" borderId="56" applyNumberForma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4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671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170" fontId="7" fillId="0" borderId="0" xfId="117" applyNumberFormat="1" applyFont="1"/>
    <xf numFmtId="0" fontId="7" fillId="0" borderId="0" xfId="0" applyFont="1" applyBorder="1"/>
    <xf numFmtId="0" fontId="47" fillId="0" borderId="0" xfId="0" applyFont="1" applyFill="1"/>
    <xf numFmtId="0" fontId="0" fillId="0" borderId="0" xfId="0" applyAlignment="1">
      <alignment wrapText="1"/>
    </xf>
    <xf numFmtId="0" fontId="0" fillId="0" borderId="0" xfId="0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Fill="1" applyBorder="1"/>
    <xf numFmtId="10" fontId="7" fillId="0" borderId="0" xfId="0" applyNumberFormat="1" applyFont="1" applyBorder="1"/>
    <xf numFmtId="0" fontId="7" fillId="0" borderId="0" xfId="0" applyFont="1" applyFill="1" applyBorder="1" applyAlignment="1"/>
    <xf numFmtId="0" fontId="14" fillId="0" borderId="0" xfId="549" applyNumberFormat="1" applyFont="1" applyFill="1" applyBorder="1" applyAlignment="1" applyProtection="1">
      <protection locked="0"/>
    </xf>
    <xf numFmtId="0" fontId="6" fillId="0" borderId="0" xfId="0" applyFont="1" applyFill="1"/>
    <xf numFmtId="10" fontId="7" fillId="0" borderId="0" xfId="0" applyNumberFormat="1" applyFont="1"/>
    <xf numFmtId="0" fontId="7" fillId="0" borderId="0" xfId="0" applyFont="1" applyFill="1" applyBorder="1" applyAlignment="1">
      <alignment wrapText="1"/>
    </xf>
    <xf numFmtId="0" fontId="0" fillId="0" borderId="0" xfId="0" applyFill="1"/>
    <xf numFmtId="170" fontId="7" fillId="0" borderId="0" xfId="0" applyNumberFormat="1" applyFont="1"/>
    <xf numFmtId="0" fontId="46" fillId="0" borderId="0" xfId="0" applyFont="1" applyAlignment="1">
      <alignment horizontal="right"/>
    </xf>
    <xf numFmtId="170" fontId="7" fillId="0" borderId="0" xfId="117" applyNumberFormat="1" applyFont="1" applyBorder="1"/>
    <xf numFmtId="0" fontId="39" fillId="0" borderId="0" xfId="0" applyFont="1" applyAlignment="1">
      <alignment horizontal="left"/>
    </xf>
    <xf numFmtId="0" fontId="51" fillId="27" borderId="0" xfId="117" applyNumberFormat="1" applyFont="1" applyFill="1" applyAlignment="1">
      <alignment horizontal="left"/>
    </xf>
    <xf numFmtId="0" fontId="39" fillId="0" borderId="17" xfId="0" applyFont="1" applyBorder="1"/>
    <xf numFmtId="0" fontId="39" fillId="0" borderId="18" xfId="0" applyFont="1" applyBorder="1"/>
    <xf numFmtId="0" fontId="7" fillId="0" borderId="18" xfId="0" applyFont="1" applyBorder="1"/>
    <xf numFmtId="170" fontId="39" fillId="0" borderId="19" xfId="117" applyNumberFormat="1" applyFont="1" applyBorder="1"/>
    <xf numFmtId="0" fontId="14" fillId="0" borderId="0" xfId="117" applyNumberFormat="1" applyFont="1" applyFill="1" applyAlignment="1">
      <alignment horizontal="left"/>
    </xf>
    <xf numFmtId="0" fontId="14" fillId="0" borderId="0" xfId="117" applyNumberFormat="1" applyFont="1" applyFill="1" applyBorder="1" applyAlignment="1">
      <alignment horizontal="left"/>
    </xf>
    <xf numFmtId="0" fontId="39" fillId="0" borderId="13" xfId="0" applyFont="1" applyBorder="1"/>
    <xf numFmtId="0" fontId="9" fillId="0" borderId="0" xfId="117" applyNumberFormat="1" applyFont="1" applyFill="1" applyBorder="1" applyAlignment="1">
      <alignment horizontal="left"/>
    </xf>
    <xf numFmtId="170" fontId="39" fillId="0" borderId="20" xfId="117" applyNumberFormat="1" applyFont="1" applyBorder="1"/>
    <xf numFmtId="0" fontId="39" fillId="0" borderId="0" xfId="0" applyFont="1" applyFill="1"/>
    <xf numFmtId="170" fontId="39" fillId="0" borderId="15" xfId="117" applyNumberFormat="1" applyFont="1" applyBorder="1"/>
    <xf numFmtId="170" fontId="7" fillId="0" borderId="6" xfId="117" applyNumberFormat="1" applyFont="1" applyBorder="1"/>
    <xf numFmtId="170" fontId="7" fillId="0" borderId="16" xfId="117" applyNumberFormat="1" applyFont="1" applyBorder="1"/>
    <xf numFmtId="0" fontId="53" fillId="0" borderId="0" xfId="0" applyFont="1" applyFill="1" applyAlignment="1"/>
    <xf numFmtId="0" fontId="7" fillId="0" borderId="0" xfId="0" applyFont="1" applyFill="1" applyAlignment="1">
      <alignment wrapText="1"/>
    </xf>
    <xf numFmtId="0" fontId="39" fillId="0" borderId="2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Border="1" applyAlignment="1"/>
    <xf numFmtId="170" fontId="54" fillId="27" borderId="14" xfId="117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7" fillId="0" borderId="13" xfId="0" applyFont="1" applyFill="1" applyBorder="1"/>
    <xf numFmtId="0" fontId="54" fillId="27" borderId="14" xfId="0" applyFont="1" applyFill="1" applyBorder="1" applyAlignment="1">
      <alignment horizontal="right"/>
    </xf>
    <xf numFmtId="170" fontId="7" fillId="0" borderId="14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0" fontId="7" fillId="0" borderId="14" xfId="0" applyNumberFormat="1" applyFont="1" applyBorder="1"/>
    <xf numFmtId="10" fontId="7" fillId="0" borderId="0" xfId="0" applyNumberFormat="1" applyFont="1" applyFill="1" applyBorder="1"/>
    <xf numFmtId="170" fontId="7" fillId="0" borderId="14" xfId="117" applyNumberFormat="1" applyFont="1" applyBorder="1"/>
    <xf numFmtId="0" fontId="39" fillId="0" borderId="24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 wrapText="1"/>
    </xf>
    <xf numFmtId="0" fontId="39" fillId="0" borderId="26" xfId="0" applyFont="1" applyBorder="1" applyAlignment="1">
      <alignment horizontal="center"/>
    </xf>
    <xf numFmtId="170" fontId="39" fillId="0" borderId="16" xfId="117" applyNumberFormat="1" applyFont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170" fontId="39" fillId="0" borderId="26" xfId="117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170" fontId="7" fillId="0" borderId="0" xfId="0" applyNumberFormat="1" applyFont="1" applyBorder="1"/>
    <xf numFmtId="170" fontId="7" fillId="0" borderId="24" xfId="117" applyNumberFormat="1" applyFont="1" applyBorder="1"/>
    <xf numFmtId="171" fontId="7" fillId="0" borderId="14" xfId="0" applyNumberFormat="1" applyFont="1" applyBorder="1"/>
    <xf numFmtId="171" fontId="7" fillId="0" borderId="24" xfId="0" applyNumberFormat="1" applyFont="1" applyBorder="1"/>
    <xf numFmtId="171" fontId="7" fillId="0" borderId="25" xfId="0" applyNumberFormat="1" applyFont="1" applyBorder="1"/>
    <xf numFmtId="170" fontId="7" fillId="0" borderId="25" xfId="0" applyNumberFormat="1" applyFont="1" applyBorder="1"/>
    <xf numFmtId="170" fontId="1" fillId="0" borderId="25" xfId="117" applyNumberFormat="1" applyBorder="1"/>
    <xf numFmtId="170" fontId="7" fillId="0" borderId="25" xfId="117" applyNumberFormat="1" applyFont="1" applyBorder="1"/>
    <xf numFmtId="170" fontId="7" fillId="0" borderId="25" xfId="0" applyNumberFormat="1" applyFont="1" applyFill="1" applyBorder="1"/>
    <xf numFmtId="0" fontId="7" fillId="0" borderId="26" xfId="0" applyNumberFormat="1" applyFont="1" applyBorder="1" applyAlignment="1">
      <alignment horizontal="center"/>
    </xf>
    <xf numFmtId="170" fontId="7" fillId="0" borderId="26" xfId="0" applyNumberFormat="1" applyFont="1" applyBorder="1"/>
    <xf numFmtId="170" fontId="1" fillId="0" borderId="26" xfId="117" applyNumberFormat="1" applyBorder="1"/>
    <xf numFmtId="171" fontId="7" fillId="0" borderId="16" xfId="0" applyNumberFormat="1" applyFont="1" applyBorder="1"/>
    <xf numFmtId="171" fontId="7" fillId="0" borderId="26" xfId="0" applyNumberFormat="1" applyFont="1" applyBorder="1"/>
    <xf numFmtId="0" fontId="53" fillId="0" borderId="0" xfId="0" applyFont="1" applyFill="1"/>
    <xf numFmtId="171" fontId="7" fillId="0" borderId="0" xfId="0" applyNumberFormat="1" applyFont="1" applyBorder="1"/>
    <xf numFmtId="170" fontId="55" fillId="0" borderId="0" xfId="0" applyNumberFormat="1" applyFont="1" applyAlignment="1">
      <alignment horizontal="left"/>
    </xf>
    <xf numFmtId="0" fontId="9" fillId="0" borderId="0" xfId="0" applyFont="1" applyFill="1"/>
    <xf numFmtId="170" fontId="39" fillId="0" borderId="0" xfId="117" applyNumberFormat="1" applyFont="1" applyBorder="1"/>
    <xf numFmtId="170" fontId="7" fillId="0" borderId="14" xfId="0" applyNumberFormat="1" applyFont="1" applyBorder="1"/>
    <xf numFmtId="170" fontId="39" fillId="0" borderId="11" xfId="117" applyNumberFormat="1" applyFont="1" applyBorder="1"/>
    <xf numFmtId="170" fontId="7" fillId="0" borderId="20" xfId="0" applyNumberFormat="1" applyFont="1" applyBorder="1"/>
    <xf numFmtId="0" fontId="7" fillId="0" borderId="15" xfId="0" applyFont="1" applyBorder="1"/>
    <xf numFmtId="170" fontId="39" fillId="0" borderId="6" xfId="117" applyNumberFormat="1" applyFont="1" applyFill="1" applyBorder="1" applyAlignment="1">
      <alignment horizontal="left"/>
    </xf>
    <xf numFmtId="170" fontId="39" fillId="0" borderId="16" xfId="117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0" xfId="0" applyFill="1" applyBorder="1" applyAlignment="1"/>
    <xf numFmtId="0" fontId="7" fillId="0" borderId="6" xfId="0" applyFont="1" applyBorder="1" applyAlignment="1">
      <alignment horizontal="center"/>
    </xf>
    <xf numFmtId="0" fontId="0" fillId="0" borderId="6" xfId="0" applyBorder="1"/>
    <xf numFmtId="0" fontId="39" fillId="0" borderId="24" xfId="0" applyFont="1" applyBorder="1" applyAlignment="1">
      <alignment horizontal="center" wrapText="1"/>
    </xf>
    <xf numFmtId="170" fontId="39" fillId="0" borderId="0" xfId="117" applyNumberFormat="1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6" xfId="0" applyFont="1" applyBorder="1" applyAlignment="1">
      <alignment horizontal="center"/>
    </xf>
    <xf numFmtId="170" fontId="7" fillId="0" borderId="24" xfId="0" applyNumberFormat="1" applyFont="1" applyBorder="1"/>
    <xf numFmtId="170" fontId="7" fillId="0" borderId="6" xfId="0" applyNumberFormat="1" applyFont="1" applyBorder="1"/>
    <xf numFmtId="0" fontId="55" fillId="0" borderId="0" xfId="0" applyFont="1"/>
    <xf numFmtId="0" fontId="58" fillId="0" borderId="0" xfId="0" applyFont="1" applyFill="1"/>
    <xf numFmtId="170" fontId="7" fillId="0" borderId="14" xfId="117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52" fillId="27" borderId="0" xfId="0" applyFont="1" applyFill="1" applyAlignment="1">
      <alignment horizontal="left"/>
    </xf>
    <xf numFmtId="0" fontId="39" fillId="0" borderId="22" xfId="0" applyFont="1" applyFill="1" applyBorder="1" applyAlignment="1"/>
    <xf numFmtId="0" fontId="61" fillId="28" borderId="22" xfId="0" applyFont="1" applyFill="1" applyBorder="1" applyAlignment="1">
      <alignment horizontal="center"/>
    </xf>
    <xf numFmtId="0" fontId="39" fillId="0" borderId="0" xfId="0" quotePrefix="1" applyFont="1" applyAlignment="1">
      <alignment horizontal="left"/>
    </xf>
    <xf numFmtId="0" fontId="68" fillId="0" borderId="0" xfId="0" applyFont="1"/>
    <xf numFmtId="0" fontId="7" fillId="0" borderId="0" xfId="0" applyFont="1" applyAlignment="1">
      <alignment horizontal="left"/>
    </xf>
    <xf numFmtId="0" fontId="50" fillId="0" borderId="0" xfId="0" quotePrefix="1" applyFont="1" applyAlignment="1">
      <alignment horizontal="left"/>
    </xf>
    <xf numFmtId="0" fontId="46" fillId="0" borderId="0" xfId="0" quotePrefix="1" applyFont="1" applyAlignment="1">
      <alignment horizontal="center"/>
    </xf>
    <xf numFmtId="171" fontId="46" fillId="0" borderId="0" xfId="0" quotePrefix="1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55" fillId="0" borderId="0" xfId="0" applyFont="1" applyFill="1" applyAlignment="1"/>
    <xf numFmtId="0" fontId="55" fillId="0" borderId="0" xfId="0" quotePrefix="1" applyFont="1" applyAlignment="1">
      <alignment horizontal="left"/>
    </xf>
    <xf numFmtId="0" fontId="67" fillId="0" borderId="0" xfId="0" applyFont="1" applyFill="1" applyAlignment="1">
      <alignment horizontal="right"/>
    </xf>
    <xf numFmtId="0" fontId="46" fillId="0" borderId="0" xfId="0" quotePrefix="1" applyFont="1" applyAlignment="1">
      <alignment horizontal="right"/>
    </xf>
    <xf numFmtId="0" fontId="39" fillId="0" borderId="28" xfId="0" applyFont="1" applyFill="1" applyBorder="1" applyAlignment="1">
      <alignment horizontal="center"/>
    </xf>
    <xf numFmtId="169" fontId="7" fillId="0" borderId="29" xfId="549" applyFont="1" applyBorder="1" applyAlignment="1" applyProtection="1">
      <alignment horizontal="center"/>
      <protection locked="0"/>
    </xf>
    <xf numFmtId="169" fontId="7" fillId="0" borderId="29" xfId="549" quotePrefix="1" applyFont="1" applyBorder="1" applyAlignment="1" applyProtection="1">
      <alignment horizontal="center"/>
      <protection locked="0"/>
    </xf>
    <xf numFmtId="3" fontId="7" fillId="0" borderId="30" xfId="549" applyNumberFormat="1" applyFont="1" applyBorder="1" applyAlignment="1" applyProtection="1">
      <alignment horizontal="center"/>
      <protection locked="0"/>
    </xf>
    <xf numFmtId="0" fontId="55" fillId="0" borderId="24" xfId="0" applyFont="1" applyBorder="1"/>
    <xf numFmtId="170" fontId="7" fillId="0" borderId="13" xfId="117" quotePrefix="1" applyNumberFormat="1" applyFont="1" applyBorder="1" applyAlignment="1">
      <alignment horizontal="right"/>
    </xf>
    <xf numFmtId="0" fontId="57" fillId="0" borderId="31" xfId="117" applyNumberFormat="1" applyFont="1" applyFill="1" applyBorder="1" applyAlignment="1">
      <alignment horizontal="left"/>
    </xf>
    <xf numFmtId="170" fontId="7" fillId="0" borderId="32" xfId="117" quotePrefix="1" applyNumberFormat="1" applyFont="1" applyBorder="1" applyAlignment="1">
      <alignment horizontal="right"/>
    </xf>
    <xf numFmtId="170" fontId="55" fillId="0" borderId="26" xfId="117" applyNumberFormat="1" applyFont="1" applyBorder="1"/>
    <xf numFmtId="0" fontId="7" fillId="0" borderId="15" xfId="0" quotePrefix="1" applyFont="1" applyBorder="1" applyAlignment="1">
      <alignment horizontal="right"/>
    </xf>
    <xf numFmtId="170" fontId="39" fillId="27" borderId="26" xfId="117" applyNumberFormat="1" applyFont="1" applyFill="1" applyBorder="1" applyAlignment="1">
      <alignment horizontal="center"/>
    </xf>
    <xf numFmtId="170" fontId="39" fillId="27" borderId="16" xfId="117" applyNumberFormat="1" applyFont="1" applyFill="1" applyBorder="1" applyAlignment="1">
      <alignment horizontal="center"/>
    </xf>
    <xf numFmtId="170" fontId="54" fillId="0" borderId="25" xfId="117" applyNumberFormat="1" applyFont="1" applyFill="1" applyBorder="1"/>
    <xf numFmtId="171" fontId="54" fillId="27" borderId="24" xfId="0" applyNumberFormat="1" applyFont="1" applyFill="1" applyBorder="1"/>
    <xf numFmtId="171" fontId="54" fillId="27" borderId="25" xfId="0" applyNumberFormat="1" applyFont="1" applyFill="1" applyBorder="1"/>
    <xf numFmtId="171" fontId="54" fillId="27" borderId="26" xfId="0" applyNumberFormat="1" applyFont="1" applyFill="1" applyBorder="1"/>
    <xf numFmtId="171" fontId="54" fillId="0" borderId="24" xfId="0" applyNumberFormat="1" applyFont="1" applyFill="1" applyBorder="1"/>
    <xf numFmtId="170" fontId="39" fillId="0" borderId="24" xfId="117" quotePrefix="1" applyNumberFormat="1" applyFont="1" applyBorder="1" applyAlignment="1">
      <alignment horizontal="center" wrapText="1"/>
    </xf>
    <xf numFmtId="170" fontId="39" fillId="0" borderId="24" xfId="117" applyNumberFormat="1" applyFont="1" applyFill="1" applyBorder="1" applyAlignment="1">
      <alignment horizontal="center" wrapText="1"/>
    </xf>
    <xf numFmtId="170" fontId="39" fillId="0" borderId="26" xfId="117" applyNumberFormat="1" applyFont="1" applyFill="1" applyBorder="1" applyAlignment="1">
      <alignment horizontal="center"/>
    </xf>
    <xf numFmtId="170" fontId="39" fillId="0" borderId="15" xfId="117" applyNumberFormat="1" applyFont="1" applyFill="1" applyBorder="1" applyAlignment="1">
      <alignment horizontal="center"/>
    </xf>
    <xf numFmtId="170" fontId="54" fillId="0" borderId="14" xfId="117" applyNumberFormat="1" applyFont="1" applyFill="1" applyBorder="1"/>
    <xf numFmtId="170" fontId="54" fillId="0" borderId="26" xfId="117" applyNumberFormat="1" applyFont="1" applyFill="1" applyBorder="1"/>
    <xf numFmtId="170" fontId="54" fillId="0" borderId="16" xfId="117" applyNumberFormat="1" applyFont="1" applyFill="1" applyBorder="1"/>
    <xf numFmtId="170" fontId="39" fillId="27" borderId="19" xfId="117" quotePrefix="1" applyNumberFormat="1" applyFont="1" applyFill="1" applyBorder="1" applyAlignment="1">
      <alignment horizontal="center" wrapText="1"/>
    </xf>
    <xf numFmtId="170" fontId="39" fillId="0" borderId="19" xfId="117" quotePrefix="1" applyNumberFormat="1" applyFont="1" applyBorder="1" applyAlignment="1">
      <alignment horizontal="center" wrapText="1"/>
    </xf>
    <xf numFmtId="170" fontId="39" fillId="27" borderId="24" xfId="117" quotePrefix="1" applyNumberFormat="1" applyFont="1" applyFill="1" applyBorder="1" applyAlignment="1">
      <alignment horizontal="center" wrapText="1"/>
    </xf>
    <xf numFmtId="0" fontId="7" fillId="0" borderId="13" xfId="0" quotePrefix="1" applyFont="1" applyFill="1" applyBorder="1" applyAlignment="1">
      <alignment horizontal="left"/>
    </xf>
    <xf numFmtId="170" fontId="7" fillId="0" borderId="26" xfId="117" applyNumberFormat="1" applyFont="1" applyBorder="1"/>
    <xf numFmtId="170" fontId="7" fillId="0" borderId="26" xfId="0" applyNumberFormat="1" applyFont="1" applyFill="1" applyBorder="1"/>
    <xf numFmtId="0" fontId="0" fillId="0" borderId="0" xfId="0" applyProtection="1"/>
    <xf numFmtId="0" fontId="14" fillId="0" borderId="0" xfId="0" applyNumberFormat="1" applyFont="1" applyAlignment="1" applyProtection="1">
      <alignment horizontal="center"/>
    </xf>
    <xf numFmtId="3" fontId="14" fillId="0" borderId="0" xfId="0" quotePrefix="1" applyNumberFormat="1" applyFont="1" applyFill="1" applyAlignment="1" applyProtection="1">
      <alignment horizontal="center"/>
    </xf>
    <xf numFmtId="0" fontId="14" fillId="0" borderId="0" xfId="0" applyNumberFormat="1" applyFont="1" applyFill="1" applyAlignment="1" applyProtection="1">
      <alignment horizontal="center"/>
    </xf>
    <xf numFmtId="169" fontId="14" fillId="0" borderId="0" xfId="549" applyFont="1" applyFill="1" applyAlignment="1" applyProtection="1"/>
    <xf numFmtId="49" fontId="71" fillId="0" borderId="0" xfId="549" applyNumberFormat="1" applyFont="1" applyFill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39" fillId="0" borderId="11" xfId="0" applyFont="1" applyBorder="1" applyAlignment="1" applyProtection="1">
      <alignment horizontal="centerContinuous"/>
    </xf>
    <xf numFmtId="0" fontId="39" fillId="0" borderId="11" xfId="0" applyFont="1" applyBorder="1" applyAlignment="1" applyProtection="1">
      <alignment horizontal="left"/>
    </xf>
    <xf numFmtId="0" fontId="53" fillId="0" borderId="0" xfId="0" quotePrefix="1" applyFont="1" applyAlignment="1" applyProtection="1">
      <alignment horizontal="left"/>
    </xf>
    <xf numFmtId="0" fontId="39" fillId="0" borderId="0" xfId="0" applyFont="1" applyBorder="1" applyAlignment="1" applyProtection="1">
      <alignment horizontal="center"/>
    </xf>
    <xf numFmtId="0" fontId="65" fillId="0" borderId="11" xfId="0" quotePrefix="1" applyFont="1" applyBorder="1" applyAlignment="1" applyProtection="1">
      <alignment horizontal="centerContinuous"/>
    </xf>
    <xf numFmtId="0" fontId="65" fillId="0" borderId="0" xfId="0" quotePrefix="1" applyFont="1" applyBorder="1" applyAlignment="1" applyProtection="1">
      <alignment horizontal="centerContinuous"/>
    </xf>
    <xf numFmtId="0" fontId="65" fillId="0" borderId="11" xfId="0" applyFont="1" applyBorder="1" applyAlignment="1" applyProtection="1">
      <alignment horizontal="centerContinuous"/>
    </xf>
    <xf numFmtId="0" fontId="72" fillId="0" borderId="0" xfId="0" applyFont="1" applyFill="1" applyProtection="1"/>
    <xf numFmtId="0" fontId="65" fillId="0" borderId="0" xfId="0" applyFont="1" applyAlignment="1" applyProtection="1">
      <alignment horizontal="center" wrapText="1"/>
    </xf>
    <xf numFmtId="0" fontId="65" fillId="0" borderId="0" xfId="0" applyFont="1" applyAlignment="1" applyProtection="1">
      <alignment horizontal="center"/>
    </xf>
    <xf numFmtId="0" fontId="65" fillId="0" borderId="0" xfId="0" applyFont="1" applyBorder="1" applyAlignment="1" applyProtection="1">
      <alignment horizontal="center" wrapText="1"/>
    </xf>
    <xf numFmtId="0" fontId="65" fillId="0" borderId="0" xfId="0" quotePrefix="1" applyFont="1" applyBorder="1" applyAlignment="1" applyProtection="1">
      <alignment horizontal="center" wrapText="1"/>
    </xf>
    <xf numFmtId="0" fontId="65" fillId="0" borderId="0" xfId="0" applyFont="1" applyBorder="1" applyAlignment="1" applyProtection="1">
      <alignment horizontal="center"/>
    </xf>
    <xf numFmtId="0" fontId="65" fillId="0" borderId="0" xfId="0" quotePrefix="1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>
      <alignment horizontal="center"/>
    </xf>
    <xf numFmtId="0" fontId="0" fillId="0" borderId="38" xfId="0" applyBorder="1" applyAlignment="1" applyProtection="1">
      <alignment wrapText="1"/>
    </xf>
    <xf numFmtId="0" fontId="39" fillId="0" borderId="0" xfId="0" applyFont="1" applyProtection="1"/>
    <xf numFmtId="0" fontId="0" fillId="0" borderId="25" xfId="0" applyBorder="1" applyProtection="1"/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/>
    </xf>
    <xf numFmtId="170" fontId="1" fillId="0" borderId="0" xfId="117" applyNumberFormat="1" applyFont="1" applyFill="1" applyAlignment="1" applyProtection="1">
      <alignment vertical="center"/>
    </xf>
    <xf numFmtId="170" fontId="1" fillId="0" borderId="0" xfId="117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70" fontId="64" fillId="27" borderId="0" xfId="117" applyNumberFormat="1" applyFont="1" applyFill="1" applyAlignment="1" applyProtection="1">
      <alignment vertical="center"/>
    </xf>
    <xf numFmtId="170" fontId="1" fillId="0" borderId="0" xfId="117" applyNumberFormat="1" applyAlignment="1" applyProtection="1">
      <alignment vertical="center"/>
    </xf>
    <xf numFmtId="170" fontId="39" fillId="0" borderId="0" xfId="117" applyNumberFormat="1" applyFont="1" applyAlignment="1" applyProtection="1">
      <alignment horizontal="center" vertical="center"/>
    </xf>
    <xf numFmtId="170" fontId="0" fillId="0" borderId="25" xfId="0" applyNumberFormat="1" applyBorder="1" applyAlignment="1" applyProtection="1">
      <alignment vertical="center"/>
    </xf>
    <xf numFmtId="170" fontId="39" fillId="0" borderId="0" xfId="117" applyNumberFormat="1" applyFont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170" fontId="1" fillId="0" borderId="0" xfId="117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7" fillId="0" borderId="0" xfId="0" quotePrefix="1" applyFont="1" applyAlignment="1" applyProtection="1">
      <alignment horizontal="center" vertical="center"/>
    </xf>
    <xf numFmtId="0" fontId="0" fillId="0" borderId="0" xfId="0" applyBorder="1" applyProtection="1"/>
    <xf numFmtId="170" fontId="1" fillId="0" borderId="0" xfId="117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70" fontId="1" fillId="0" borderId="0" xfId="117" applyNumberFormat="1" applyFont="1" applyFill="1" applyBorder="1" applyAlignment="1" applyProtection="1">
      <alignment vertical="center"/>
    </xf>
    <xf numFmtId="170" fontId="1" fillId="0" borderId="0" xfId="117" applyNumberFormat="1" applyBorder="1" applyAlignment="1" applyProtection="1">
      <alignment vertical="center"/>
    </xf>
    <xf numFmtId="170" fontId="39" fillId="0" borderId="0" xfId="117" applyNumberFormat="1" applyFont="1" applyBorder="1" applyAlignment="1" applyProtection="1">
      <alignment vertical="center"/>
    </xf>
    <xf numFmtId="170" fontId="1" fillId="0" borderId="0" xfId="117" applyNumberFormat="1" applyFont="1" applyBorder="1" applyAlignment="1" applyProtection="1">
      <alignment vertical="center"/>
    </xf>
    <xf numFmtId="0" fontId="39" fillId="0" borderId="0" xfId="0" applyFont="1" applyAlignment="1" applyProtection="1">
      <alignment horizontal="center" vertical="center"/>
    </xf>
    <xf numFmtId="0" fontId="64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vertical="center"/>
    </xf>
    <xf numFmtId="43" fontId="73" fillId="0" borderId="0" xfId="117" applyNumberFormat="1" applyFont="1" applyAlignment="1" applyProtection="1">
      <alignment horizontal="center" vertical="center"/>
    </xf>
    <xf numFmtId="43" fontId="53" fillId="0" borderId="0" xfId="117" applyFont="1" applyAlignment="1" applyProtection="1">
      <alignment horizontal="center" vertical="center"/>
    </xf>
    <xf numFmtId="43" fontId="75" fillId="0" borderId="0" xfId="117" applyFont="1" applyAlignment="1" applyProtection="1">
      <alignment horizontal="left" vertical="center"/>
    </xf>
    <xf numFmtId="170" fontId="75" fillId="0" borderId="0" xfId="117" applyNumberFormat="1" applyFont="1" applyAlignment="1" applyProtection="1">
      <alignment horizontal="center" vertical="center"/>
    </xf>
    <xf numFmtId="43" fontId="76" fillId="0" borderId="0" xfId="117" applyFont="1" applyAlignment="1" applyProtection="1">
      <alignment vertical="center"/>
    </xf>
    <xf numFmtId="43" fontId="1" fillId="0" borderId="0" xfId="117" applyAlignment="1" applyProtection="1">
      <alignment vertical="center"/>
    </xf>
    <xf numFmtId="170" fontId="0" fillId="0" borderId="26" xfId="0" applyNumberFormat="1" applyBorder="1" applyProtection="1"/>
    <xf numFmtId="0" fontId="0" fillId="0" borderId="0" xfId="0" quotePrefix="1" applyAlignment="1" applyProtection="1">
      <alignment horizontal="left" vertical="center"/>
    </xf>
    <xf numFmtId="13" fontId="5" fillId="0" borderId="0" xfId="0" applyNumberFormat="1" applyFont="1" applyAlignment="1" applyProtection="1">
      <alignment horizontal="center" vertical="center"/>
    </xf>
    <xf numFmtId="170" fontId="0" fillId="0" borderId="0" xfId="117" applyNumberFormat="1" applyFont="1" applyProtection="1"/>
    <xf numFmtId="170" fontId="64" fillId="27" borderId="0" xfId="0" applyNumberFormat="1" applyFont="1" applyFill="1" applyAlignment="1" applyProtection="1">
      <alignment vertical="center"/>
    </xf>
    <xf numFmtId="170" fontId="1" fillId="0" borderId="0" xfId="117" applyNumberFormat="1" applyProtection="1"/>
    <xf numFmtId="164" fontId="1" fillId="0" borderId="0" xfId="0" applyNumberFormat="1" applyFont="1" applyFill="1" applyProtection="1"/>
    <xf numFmtId="43" fontId="1" fillId="0" borderId="0" xfId="117" applyProtection="1"/>
    <xf numFmtId="177" fontId="1" fillId="0" borderId="0" xfId="117" applyNumberFormat="1" applyProtection="1"/>
    <xf numFmtId="0" fontId="0" fillId="0" borderId="33" xfId="0" applyBorder="1" applyProtection="1"/>
    <xf numFmtId="0" fontId="0" fillId="0" borderId="2" xfId="0" applyBorder="1" applyProtection="1"/>
    <xf numFmtId="170" fontId="1" fillId="0" borderId="2" xfId="117" applyNumberFormat="1" applyBorder="1" applyProtection="1"/>
    <xf numFmtId="0" fontId="0" fillId="0" borderId="27" xfId="0" applyBorder="1" applyProtection="1"/>
    <xf numFmtId="0" fontId="0" fillId="0" borderId="34" xfId="0" applyBorder="1" applyProtection="1"/>
    <xf numFmtId="0" fontId="0" fillId="0" borderId="0" xfId="0" applyBorder="1" applyAlignment="1" applyProtection="1">
      <alignment horizontal="center"/>
    </xf>
    <xf numFmtId="49" fontId="71" fillId="0" borderId="0" xfId="549" applyNumberFormat="1" applyFont="1" applyFill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Protection="1"/>
    <xf numFmtId="0" fontId="0" fillId="0" borderId="11" xfId="0" applyBorder="1" applyProtection="1"/>
    <xf numFmtId="170" fontId="1" fillId="0" borderId="11" xfId="117" applyNumberFormat="1" applyBorder="1" applyProtection="1"/>
    <xf numFmtId="0" fontId="0" fillId="0" borderId="37" xfId="0" applyBorder="1" applyProtection="1"/>
    <xf numFmtId="0" fontId="7" fillId="0" borderId="0" xfId="0" applyFont="1" applyProtection="1"/>
    <xf numFmtId="0" fontId="0" fillId="0" borderId="0" xfId="0" quotePrefix="1" applyAlignment="1" applyProtection="1">
      <alignment horizontal="left"/>
    </xf>
    <xf numFmtId="171" fontId="0" fillId="0" borderId="0" xfId="327" applyNumberFormat="1" applyFont="1" applyProtection="1"/>
    <xf numFmtId="0" fontId="0" fillId="0" borderId="0" xfId="0" quotePrefix="1" applyAlignment="1" applyProtection="1">
      <alignment horizontal="center"/>
    </xf>
    <xf numFmtId="170" fontId="0" fillId="0" borderId="0" xfId="0" applyNumberFormat="1" applyProtection="1"/>
    <xf numFmtId="170" fontId="0" fillId="0" borderId="0" xfId="121" applyNumberFormat="1" applyFont="1" applyProtection="1"/>
    <xf numFmtId="170" fontId="0" fillId="0" borderId="0" xfId="561" applyNumberFormat="1" applyFont="1" applyProtection="1"/>
    <xf numFmtId="0" fontId="39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170" fontId="7" fillId="0" borderId="0" xfId="117" applyNumberFormat="1" applyFont="1" applyProtection="1"/>
    <xf numFmtId="0" fontId="7" fillId="0" borderId="0" xfId="0" applyFont="1" applyBorder="1" applyProtection="1"/>
    <xf numFmtId="0" fontId="47" fillId="0" borderId="0" xfId="0" applyFont="1" applyFill="1" applyAlignment="1" applyProtection="1">
      <alignment vertical="top"/>
    </xf>
    <xf numFmtId="0" fontId="9" fillId="0" borderId="0" xfId="0" applyFont="1" applyAlignment="1" applyProtection="1">
      <alignment horizontal="left"/>
    </xf>
    <xf numFmtId="41" fontId="0" fillId="0" borderId="0" xfId="0" applyNumberFormat="1" applyProtection="1"/>
    <xf numFmtId="3" fontId="0" fillId="0" borderId="0" xfId="0" applyNumberFormat="1" applyProtection="1"/>
    <xf numFmtId="0" fontId="7" fillId="0" borderId="0" xfId="549" applyNumberFormat="1" applyFont="1" applyBorder="1" applyAlignment="1" applyProtection="1"/>
    <xf numFmtId="3" fontId="7" fillId="0" borderId="0" xfId="549" applyNumberFormat="1" applyFont="1" applyAlignment="1" applyProtection="1"/>
    <xf numFmtId="10" fontId="7" fillId="0" borderId="0" xfId="549" applyNumberFormat="1" applyFont="1" applyAlignment="1" applyProtection="1"/>
    <xf numFmtId="166" fontId="7" fillId="0" borderId="0" xfId="549" applyNumberFormat="1" applyFont="1" applyAlignment="1" applyProtection="1"/>
    <xf numFmtId="43" fontId="7" fillId="0" borderId="0" xfId="117" applyFont="1" applyAlignment="1" applyProtection="1"/>
    <xf numFmtId="169" fontId="7" fillId="0" borderId="0" xfId="549" applyFont="1" applyAlignment="1" applyProtection="1"/>
    <xf numFmtId="169" fontId="7" fillId="0" borderId="0" xfId="549" applyFont="1" applyBorder="1" applyAlignment="1" applyProtection="1"/>
    <xf numFmtId="0" fontId="7" fillId="28" borderId="0" xfId="117" applyNumberFormat="1" applyFont="1" applyFill="1" applyAlignment="1" applyProtection="1"/>
    <xf numFmtId="10" fontId="7" fillId="0" borderId="0" xfId="549" applyNumberFormat="1" applyFont="1" applyFill="1" applyAlignment="1" applyProtection="1">
      <alignment horizontal="right"/>
    </xf>
    <xf numFmtId="3" fontId="39" fillId="0" borderId="0" xfId="549" applyNumberFormat="1" applyFont="1" applyAlignment="1" applyProtection="1"/>
    <xf numFmtId="3" fontId="48" fillId="0" borderId="0" xfId="549" applyNumberFormat="1" applyFont="1" applyAlignment="1" applyProtection="1">
      <alignment horizontal="center"/>
    </xf>
    <xf numFmtId="10" fontId="48" fillId="0" borderId="0" xfId="549" applyNumberFormat="1" applyFont="1" applyFill="1" applyAlignment="1" applyProtection="1">
      <alignment horizontal="center"/>
    </xf>
    <xf numFmtId="0" fontId="7" fillId="0" borderId="0" xfId="549" applyNumberFormat="1" applyFont="1" applyFill="1" applyBorder="1" applyAlignment="1" applyProtection="1">
      <alignment horizontal="right"/>
    </xf>
    <xf numFmtId="10" fontId="0" fillId="0" borderId="0" xfId="0" applyNumberFormat="1" applyAlignment="1" applyProtection="1">
      <alignment horizontal="center"/>
    </xf>
    <xf numFmtId="166" fontId="7" fillId="0" borderId="0" xfId="549" applyNumberFormat="1" applyFont="1" applyAlignment="1" applyProtection="1">
      <alignment horizontal="center"/>
    </xf>
    <xf numFmtId="167" fontId="7" fillId="0" borderId="0" xfId="549" applyNumberFormat="1" applyFont="1" applyFill="1" applyAlignment="1" applyProtection="1"/>
    <xf numFmtId="165" fontId="7" fillId="0" borderId="0" xfId="549" applyNumberFormat="1" applyFont="1" applyAlignment="1" applyProtection="1">
      <alignment horizontal="center"/>
    </xf>
    <xf numFmtId="165" fontId="7" fillId="0" borderId="0" xfId="549" applyNumberFormat="1" applyFont="1" applyBorder="1" applyAlignment="1" applyProtection="1">
      <alignment horizontal="center"/>
    </xf>
    <xf numFmtId="169" fontId="7" fillId="0" borderId="13" xfId="549" applyFont="1" applyBorder="1" applyAlignment="1" applyProtection="1"/>
    <xf numFmtId="0" fontId="7" fillId="0" borderId="0" xfId="549" applyNumberFormat="1" applyFont="1" applyBorder="1" applyAlignment="1" applyProtection="1">
      <alignment horizontal="center"/>
    </xf>
    <xf numFmtId="3" fontId="7" fillId="0" borderId="14" xfId="549" applyNumberFormat="1" applyFont="1" applyBorder="1" applyAlignment="1" applyProtection="1"/>
    <xf numFmtId="41" fontId="7" fillId="0" borderId="0" xfId="549" applyNumberFormat="1" applyFont="1" applyAlignment="1" applyProtection="1"/>
    <xf numFmtId="41" fontId="7" fillId="0" borderId="0" xfId="549" applyNumberFormat="1" applyFont="1" applyAlignment="1" applyProtection="1">
      <alignment horizontal="center"/>
    </xf>
    <xf numFmtId="41" fontId="7" fillId="0" borderId="0" xfId="549" applyNumberFormat="1" applyFont="1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Protection="1"/>
    <xf numFmtId="0" fontId="7" fillId="0" borderId="0" xfId="549" applyNumberFormat="1" applyFont="1" applyBorder="1" applyAlignment="1" applyProtection="1">
      <alignment horizontal="right"/>
    </xf>
    <xf numFmtId="167" fontId="48" fillId="0" borderId="0" xfId="549" applyNumberFormat="1" applyFont="1" applyFill="1" applyAlignment="1" applyProtection="1"/>
    <xf numFmtId="165" fontId="15" fillId="0" borderId="15" xfId="549" applyNumberFormat="1" applyFont="1" applyBorder="1" applyAlignment="1" applyProtection="1">
      <alignment horizontal="center"/>
    </xf>
    <xf numFmtId="0" fontId="7" fillId="28" borderId="6" xfId="549" applyNumberFormat="1" applyFont="1" applyFill="1" applyBorder="1" applyAlignment="1" applyProtection="1">
      <alignment horizontal="center"/>
    </xf>
    <xf numFmtId="170" fontId="7" fillId="0" borderId="6" xfId="549" applyNumberFormat="1" applyFont="1" applyBorder="1" applyAlignment="1" applyProtection="1">
      <alignment horizontal="center"/>
    </xf>
    <xf numFmtId="171" fontId="0" fillId="0" borderId="16" xfId="0" applyNumberFormat="1" applyBorder="1" applyProtection="1"/>
    <xf numFmtId="3" fontId="7" fillId="0" borderId="0" xfId="549" applyNumberFormat="1" applyFont="1" applyAlignment="1" applyProtection="1">
      <alignment horizontal="right"/>
    </xf>
    <xf numFmtId="0" fontId="63" fillId="0" borderId="0" xfId="0" applyFont="1" applyAlignment="1" applyProtection="1">
      <alignment horizontal="center"/>
    </xf>
    <xf numFmtId="10" fontId="7" fillId="0" borderId="0" xfId="549" applyNumberFormat="1" applyFont="1" applyFill="1" applyAlignment="1" applyProtection="1">
      <alignment horizontal="left"/>
    </xf>
    <xf numFmtId="41" fontId="7" fillId="0" borderId="0" xfId="549" applyNumberFormat="1" applyFont="1" applyBorder="1" applyAlignment="1" applyProtection="1"/>
    <xf numFmtId="41" fontId="7" fillId="0" borderId="0" xfId="549" applyNumberFormat="1" applyFont="1" applyFill="1" applyAlignment="1" applyProtection="1"/>
    <xf numFmtId="0" fontId="7" fillId="0" borderId="0" xfId="549" applyNumberFormat="1" applyFont="1" applyAlignment="1" applyProtection="1">
      <alignment horizontal="center"/>
    </xf>
    <xf numFmtId="41" fontId="7" fillId="0" borderId="0" xfId="549" quotePrefix="1" applyNumberFormat="1" applyFont="1" applyBorder="1" applyAlignment="1" applyProtection="1"/>
    <xf numFmtId="41" fontId="7" fillId="0" borderId="0" xfId="549" applyNumberFormat="1" applyFont="1" applyFill="1" applyBorder="1" applyAlignment="1" applyProtection="1">
      <alignment horizontal="right"/>
    </xf>
    <xf numFmtId="172" fontId="7" fillId="0" borderId="11" xfId="549" applyNumberFormat="1" applyFont="1" applyBorder="1" applyAlignment="1" applyProtection="1"/>
    <xf numFmtId="164" fontId="7" fillId="0" borderId="0" xfId="549" applyNumberFormat="1" applyFont="1" applyFill="1" applyBorder="1" applyAlignment="1" applyProtection="1">
      <alignment horizontal="left"/>
    </xf>
    <xf numFmtId="164" fontId="7" fillId="0" borderId="0" xfId="549" applyNumberFormat="1" applyFont="1" applyBorder="1" applyAlignment="1" applyProtection="1">
      <alignment horizontal="left"/>
    </xf>
    <xf numFmtId="3" fontId="7" fillId="0" borderId="0" xfId="549" applyNumberFormat="1" applyFont="1" applyAlignment="1" applyProtection="1">
      <alignment vertical="center" wrapText="1"/>
    </xf>
    <xf numFmtId="41" fontId="7" fillId="0" borderId="0" xfId="549" applyNumberFormat="1" applyFont="1" applyBorder="1" applyAlignment="1" applyProtection="1">
      <alignment vertical="center"/>
    </xf>
    <xf numFmtId="41" fontId="7" fillId="0" borderId="0" xfId="549" applyNumberFormat="1" applyFont="1" applyBorder="1" applyAlignment="1" applyProtection="1">
      <alignment horizontal="center" vertical="center"/>
    </xf>
    <xf numFmtId="41" fontId="7" fillId="0" borderId="0" xfId="549" applyNumberFormat="1" applyFont="1" applyAlignment="1" applyProtection="1">
      <alignment horizontal="right"/>
    </xf>
    <xf numFmtId="10" fontId="7" fillId="0" borderId="0" xfId="0" applyNumberFormat="1" applyFont="1" applyBorder="1" applyProtection="1"/>
    <xf numFmtId="0" fontId="7" fillId="0" borderId="0" xfId="0" applyFont="1" applyFill="1" applyAlignment="1" applyProtection="1">
      <alignment horizontal="center"/>
    </xf>
    <xf numFmtId="41" fontId="7" fillId="0" borderId="0" xfId="0" applyNumberFormat="1" applyFont="1" applyProtection="1"/>
    <xf numFmtId="3" fontId="14" fillId="0" borderId="0" xfId="549" applyNumberFormat="1" applyFont="1" applyFill="1" applyBorder="1" applyAlignment="1" applyProtection="1"/>
    <xf numFmtId="41" fontId="7" fillId="0" borderId="0" xfId="549" applyNumberFormat="1" applyFont="1" applyFill="1" applyBorder="1" applyAlignment="1" applyProtection="1"/>
    <xf numFmtId="3" fontId="14" fillId="0" borderId="0" xfId="549" applyNumberFormat="1" applyFont="1" applyFill="1" applyBorder="1" applyAlignment="1" applyProtection="1">
      <alignment horizontal="center"/>
    </xf>
    <xf numFmtId="41" fontId="14" fillId="0" borderId="0" xfId="549" applyNumberFormat="1" applyFont="1" applyFill="1" applyBorder="1" applyAlignment="1" applyProtection="1"/>
    <xf numFmtId="0" fontId="14" fillId="0" borderId="0" xfId="549" applyNumberFormat="1" applyFont="1" applyFill="1" applyBorder="1" applyAlignment="1" applyProtection="1"/>
    <xf numFmtId="0" fontId="47" fillId="0" borderId="0" xfId="0" applyFont="1" applyFill="1" applyProtection="1"/>
    <xf numFmtId="0" fontId="6" fillId="0" borderId="0" xfId="0" applyFont="1" applyFill="1" applyProtection="1"/>
    <xf numFmtId="0" fontId="14" fillId="0" borderId="0" xfId="549" applyNumberFormat="1" applyFont="1" applyFill="1" applyBorder="1" applyProtection="1"/>
    <xf numFmtId="0" fontId="7" fillId="0" borderId="0" xfId="549" applyNumberFormat="1" applyFont="1" applyFill="1" applyBorder="1" applyAlignment="1" applyProtection="1"/>
    <xf numFmtId="3" fontId="7" fillId="0" borderId="0" xfId="549" applyNumberFormat="1" applyFont="1" applyFill="1" applyBorder="1" applyAlignment="1" applyProtection="1"/>
    <xf numFmtId="41" fontId="7" fillId="0" borderId="0" xfId="549" applyNumberFormat="1" applyFont="1" applyFill="1" applyBorder="1" applyAlignment="1" applyProtection="1">
      <alignment horizontal="center"/>
    </xf>
    <xf numFmtId="0" fontId="7" fillId="0" borderId="0" xfId="549" applyNumberFormat="1" applyFont="1" applyFill="1" applyBorder="1" applyProtection="1"/>
    <xf numFmtId="3" fontId="7" fillId="0" borderId="0" xfId="549" applyNumberFormat="1" applyFont="1" applyFill="1" applyBorder="1" applyAlignment="1" applyProtection="1">
      <alignment horizontal="center"/>
    </xf>
    <xf numFmtId="41" fontId="7" fillId="0" borderId="11" xfId="549" applyNumberFormat="1" applyFont="1" applyFill="1" applyBorder="1" applyAlignment="1" applyProtection="1"/>
    <xf numFmtId="0" fontId="7" fillId="0" borderId="0" xfId="0" applyFont="1" applyFill="1" applyBorder="1" applyProtection="1"/>
    <xf numFmtId="0" fontId="7" fillId="0" borderId="0" xfId="549" applyNumberFormat="1" applyFont="1" applyFill="1" applyBorder="1" applyAlignment="1" applyProtection="1">
      <alignment horizontal="center"/>
    </xf>
    <xf numFmtId="10" fontId="7" fillId="0" borderId="0" xfId="549" applyNumberFormat="1" applyFont="1" applyFill="1" applyBorder="1" applyAlignment="1" applyProtection="1"/>
    <xf numFmtId="167" fontId="7" fillId="0" borderId="0" xfId="549" applyNumberFormat="1" applyFont="1" applyFill="1" applyBorder="1" applyAlignment="1" applyProtection="1"/>
    <xf numFmtId="169" fontId="7" fillId="0" borderId="0" xfId="549" applyFont="1" applyFill="1" applyBorder="1" applyAlignment="1" applyProtection="1"/>
    <xf numFmtId="3" fontId="7" fillId="0" borderId="0" xfId="549" quotePrefix="1" applyNumberFormat="1" applyFont="1" applyFill="1" applyBorder="1" applyAlignment="1" applyProtection="1"/>
    <xf numFmtId="3" fontId="39" fillId="0" borderId="0" xfId="549" applyNumberFormat="1" applyFont="1" applyFill="1" applyBorder="1" applyAlignment="1" applyProtection="1">
      <alignment horizontal="right"/>
    </xf>
    <xf numFmtId="167" fontId="39" fillId="0" borderId="0" xfId="549" applyNumberFormat="1" applyFont="1" applyFill="1" applyBorder="1" applyAlignment="1" applyProtection="1"/>
    <xf numFmtId="3" fontId="39" fillId="0" borderId="0" xfId="549" quotePrefix="1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41" fontId="7" fillId="0" borderId="0" xfId="0" applyNumberFormat="1" applyFont="1" applyFill="1" applyBorder="1" applyProtection="1"/>
    <xf numFmtId="170" fontId="7" fillId="0" borderId="0" xfId="117" applyNumberFormat="1" applyFont="1" applyFill="1" applyBorder="1" applyProtection="1"/>
    <xf numFmtId="41" fontId="48" fillId="0" borderId="0" xfId="549" applyNumberFormat="1" applyFont="1" applyFill="1" applyBorder="1" applyAlignment="1" applyProtection="1"/>
    <xf numFmtId="0" fontId="7" fillId="0" borderId="0" xfId="0" applyFont="1" applyFill="1" applyBorder="1" applyAlignment="1" applyProtection="1"/>
    <xf numFmtId="0" fontId="0" fillId="0" borderId="0" xfId="0" applyAlignment="1" applyProtection="1"/>
    <xf numFmtId="41" fontId="7" fillId="0" borderId="11" xfId="0" applyNumberFormat="1" applyFont="1" applyFill="1" applyBorder="1" applyProtection="1"/>
    <xf numFmtId="41" fontId="7" fillId="0" borderId="0" xfId="0" applyNumberFormat="1" applyFont="1" applyBorder="1" applyProtection="1"/>
    <xf numFmtId="41" fontId="48" fillId="0" borderId="0" xfId="0" applyNumberFormat="1" applyFont="1" applyProtection="1"/>
    <xf numFmtId="0" fontId="7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0" fillId="0" borderId="0" xfId="0" applyFill="1" applyAlignment="1" applyProtection="1"/>
    <xf numFmtId="41" fontId="7" fillId="0" borderId="0" xfId="0" applyNumberFormat="1" applyFont="1" applyFill="1" applyProtection="1"/>
    <xf numFmtId="170" fontId="7" fillId="0" borderId="0" xfId="117" applyNumberFormat="1" applyFont="1" applyFill="1" applyProtection="1"/>
    <xf numFmtId="10" fontId="7" fillId="0" borderId="11" xfId="0" applyNumberFormat="1" applyFont="1" applyFill="1" applyBorder="1" applyProtection="1"/>
    <xf numFmtId="9" fontId="7" fillId="0" borderId="11" xfId="559" applyFont="1" applyFill="1" applyBorder="1" applyProtection="1"/>
    <xf numFmtId="170" fontId="7" fillId="0" borderId="11" xfId="117" applyNumberFormat="1" applyFont="1" applyFill="1" applyBorder="1" applyAlignment="1" applyProtection="1"/>
    <xf numFmtId="41" fontId="7" fillId="0" borderId="11" xfId="0" applyNumberFormat="1" applyFont="1" applyBorder="1" applyProtection="1"/>
    <xf numFmtId="10" fontId="7" fillId="0" borderId="0" xfId="0" applyNumberFormat="1" applyFont="1" applyProtection="1"/>
    <xf numFmtId="10" fontId="48" fillId="0" borderId="0" xfId="0" applyNumberFormat="1" applyFont="1" applyProtection="1"/>
    <xf numFmtId="170" fontId="7" fillId="0" borderId="11" xfId="117" applyNumberFormat="1" applyFont="1" applyFill="1" applyBorder="1" applyProtection="1"/>
    <xf numFmtId="174" fontId="7" fillId="0" borderId="0" xfId="0" applyNumberFormat="1" applyFont="1" applyProtection="1"/>
    <xf numFmtId="43" fontId="7" fillId="0" borderId="0" xfId="117" applyFont="1" applyProtection="1"/>
    <xf numFmtId="43" fontId="7" fillId="0" borderId="0" xfId="117" applyNumberFormat="1" applyFont="1" applyProtection="1"/>
    <xf numFmtId="170" fontId="7" fillId="0" borderId="0" xfId="0" applyNumberFormat="1" applyFont="1" applyProtection="1"/>
    <xf numFmtId="0" fontId="7" fillId="0" borderId="0" xfId="0" applyNumberFormat="1" applyFont="1" applyBorder="1" applyAlignment="1" applyProtection="1">
      <alignment horizontal="center"/>
    </xf>
    <xf numFmtId="170" fontId="7" fillId="0" borderId="0" xfId="0" applyNumberFormat="1" applyFont="1" applyBorder="1" applyProtection="1"/>
    <xf numFmtId="170" fontId="7" fillId="0" borderId="0" xfId="117" applyNumberFormat="1" applyFont="1" applyBorder="1" applyProtection="1"/>
    <xf numFmtId="171" fontId="7" fillId="0" borderId="0" xfId="0" applyNumberFormat="1" applyFont="1" applyBorder="1" applyProtection="1"/>
    <xf numFmtId="0" fontId="65" fillId="0" borderId="0" xfId="0" quotePrefix="1" applyFont="1" applyAlignment="1" applyProtection="1">
      <alignment horizontal="left"/>
    </xf>
    <xf numFmtId="0" fontId="66" fillId="0" borderId="0" xfId="0" quotePrefix="1" applyFont="1" applyAlignment="1" applyProtection="1">
      <alignment horizontal="left"/>
    </xf>
    <xf numFmtId="0" fontId="7" fillId="0" borderId="17" xfId="0" quotePrefix="1" applyFont="1" applyFill="1" applyBorder="1" applyAlignment="1" applyProtection="1">
      <alignment horizontal="left"/>
    </xf>
    <xf numFmtId="0" fontId="0" fillId="0" borderId="46" xfId="0" quotePrefix="1" applyBorder="1" applyAlignment="1" applyProtection="1">
      <alignment horizontal="left"/>
    </xf>
    <xf numFmtId="0" fontId="121" fillId="0" borderId="41" xfId="0" quotePrefix="1" applyFont="1" applyFill="1" applyBorder="1" applyAlignment="1" applyProtection="1">
      <alignment horizontal="right"/>
    </xf>
    <xf numFmtId="0" fontId="103" fillId="0" borderId="14" xfId="0" applyFont="1" applyBorder="1" applyProtection="1"/>
    <xf numFmtId="170" fontId="121" fillId="0" borderId="41" xfId="308" applyNumberFormat="1" applyFont="1" applyFill="1" applyBorder="1" applyProtection="1"/>
    <xf numFmtId="180" fontId="121" fillId="0" borderId="41" xfId="620" applyNumberFormat="1" applyFont="1" applyFill="1" applyBorder="1" applyProtection="1"/>
    <xf numFmtId="0" fontId="103" fillId="0" borderId="39" xfId="0" applyFont="1" applyBorder="1" applyProtection="1"/>
    <xf numFmtId="0" fontId="103" fillId="0" borderId="40" xfId="0" applyFont="1" applyBorder="1" applyProtection="1"/>
    <xf numFmtId="41" fontId="54" fillId="0" borderId="13" xfId="0" applyNumberFormat="1" applyFont="1" applyBorder="1" applyProtection="1"/>
    <xf numFmtId="3" fontId="7" fillId="0" borderId="43" xfId="484" applyNumberFormat="1" applyFont="1" applyFill="1" applyBorder="1" applyProtection="1"/>
    <xf numFmtId="10" fontId="54" fillId="0" borderId="13" xfId="0" applyNumberFormat="1" applyFont="1" applyBorder="1" applyProtection="1"/>
    <xf numFmtId="0" fontId="7" fillId="0" borderId="14" xfId="484" applyFont="1" applyFill="1" applyBorder="1" applyProtection="1"/>
    <xf numFmtId="10" fontId="121" fillId="0" borderId="41" xfId="561" applyNumberFormat="1" applyFont="1" applyFill="1" applyBorder="1" applyProtection="1"/>
    <xf numFmtId="0" fontId="54" fillId="0" borderId="20" xfId="0" applyFont="1" applyBorder="1" applyProtection="1"/>
    <xf numFmtId="170" fontId="121" fillId="0" borderId="42" xfId="0" applyNumberFormat="1" applyFont="1" applyFill="1" applyBorder="1" applyProtection="1"/>
    <xf numFmtId="0" fontId="54" fillId="0" borderId="44" xfId="0" applyFont="1" applyBorder="1" applyProtection="1"/>
    <xf numFmtId="170" fontId="7" fillId="0" borderId="0" xfId="0" applyNumberFormat="1" applyFont="1" applyFill="1" applyBorder="1" applyProtection="1"/>
    <xf numFmtId="0" fontId="54" fillId="0" borderId="16" xfId="0" applyFont="1" applyBorder="1" applyProtection="1"/>
    <xf numFmtId="170" fontId="54" fillId="0" borderId="24" xfId="0" applyNumberFormat="1" applyFont="1" applyBorder="1" applyProtection="1"/>
    <xf numFmtId="170" fontId="54" fillId="0" borderId="25" xfId="0" applyNumberFormat="1" applyFont="1" applyBorder="1" applyProtection="1"/>
    <xf numFmtId="171" fontId="54" fillId="0" borderId="26" xfId="0" applyNumberFormat="1" applyFont="1" applyBorder="1" applyProtection="1"/>
    <xf numFmtId="0" fontId="50" fillId="0" borderId="0" xfId="0" applyFont="1" applyFill="1" applyProtection="1"/>
    <xf numFmtId="0" fontId="0" fillId="0" borderId="0" xfId="0" applyAlignment="1" applyProtection="1">
      <alignment wrapText="1"/>
    </xf>
    <xf numFmtId="0" fontId="7" fillId="26" borderId="0" xfId="117" applyNumberFormat="1" applyFont="1" applyFill="1" applyAlignment="1" applyProtection="1"/>
    <xf numFmtId="0" fontId="7" fillId="0" borderId="0" xfId="117" applyNumberFormat="1" applyFont="1" applyFill="1" applyAlignment="1" applyProtection="1"/>
    <xf numFmtId="169" fontId="15" fillId="0" borderId="17" xfId="549" applyFont="1" applyBorder="1" applyAlignment="1" applyProtection="1"/>
    <xf numFmtId="169" fontId="7" fillId="0" borderId="18" xfId="549" applyFont="1" applyBorder="1" applyAlignment="1" applyProtection="1"/>
    <xf numFmtId="3" fontId="7" fillId="0" borderId="19" xfId="549" applyNumberFormat="1" applyFont="1" applyBorder="1" applyAlignment="1" applyProtection="1"/>
    <xf numFmtId="0" fontId="7" fillId="28" borderId="0" xfId="549" applyNumberFormat="1" applyFont="1" applyFill="1" applyBorder="1" applyAlignment="1" applyProtection="1">
      <alignment horizontal="center"/>
    </xf>
    <xf numFmtId="167" fontId="7" fillId="0" borderId="0" xfId="549" applyNumberFormat="1" applyFont="1" applyAlignment="1" applyProtection="1"/>
    <xf numFmtId="0" fontId="7" fillId="0" borderId="0" xfId="0" quotePrefix="1" applyFont="1" applyBorder="1" applyAlignment="1" applyProtection="1">
      <alignment horizontal="right"/>
    </xf>
    <xf numFmtId="171" fontId="0" fillId="0" borderId="0" xfId="0" applyNumberFormat="1" applyBorder="1" applyProtection="1"/>
    <xf numFmtId="171" fontId="0" fillId="0" borderId="14" xfId="0" applyNumberFormat="1" applyBorder="1" applyProtection="1"/>
    <xf numFmtId="0" fontId="0" fillId="0" borderId="0" xfId="0" quotePrefix="1" applyBorder="1" applyAlignment="1" applyProtection="1">
      <alignment horizontal="right"/>
    </xf>
    <xf numFmtId="171" fontId="0" fillId="0" borderId="6" xfId="0" applyNumberFormat="1" applyBorder="1" applyProtection="1"/>
    <xf numFmtId="167" fontId="48" fillId="0" borderId="0" xfId="549" applyNumberFormat="1" applyFont="1" applyAlignment="1" applyProtection="1"/>
    <xf numFmtId="0" fontId="0" fillId="0" borderId="0" xfId="0" applyBorder="1" applyAlignment="1" applyProtection="1">
      <alignment horizontal="right"/>
    </xf>
    <xf numFmtId="170" fontId="0" fillId="0" borderId="0" xfId="0" applyNumberFormat="1" applyBorder="1" applyProtection="1"/>
    <xf numFmtId="170" fontId="0" fillId="0" borderId="19" xfId="0" applyNumberFormat="1" applyBorder="1" applyProtection="1"/>
    <xf numFmtId="173" fontId="7" fillId="0" borderId="0" xfId="549" applyNumberFormat="1" applyFont="1" applyAlignment="1" applyProtection="1"/>
    <xf numFmtId="165" fontId="7" fillId="0" borderId="15" xfId="549" applyNumberFormat="1" applyFont="1" applyBorder="1" applyAlignment="1" applyProtection="1">
      <alignment horizontal="center"/>
    </xf>
    <xf numFmtId="0" fontId="7" fillId="0" borderId="6" xfId="549" applyNumberFormat="1" applyFont="1" applyBorder="1" applyAlignment="1" applyProtection="1">
      <alignment horizontal="center"/>
    </xf>
    <xf numFmtId="170" fontId="7" fillId="0" borderId="6" xfId="549" quotePrefix="1" applyNumberFormat="1" applyFont="1" applyBorder="1" applyAlignment="1" applyProtection="1">
      <alignment horizontal="center"/>
    </xf>
    <xf numFmtId="41" fontId="48" fillId="0" borderId="11" xfId="549" applyNumberFormat="1" applyFont="1" applyFill="1" applyBorder="1" applyAlignment="1" applyProtection="1"/>
    <xf numFmtId="10" fontId="7" fillId="0" borderId="0" xfId="0" applyNumberFormat="1" applyFont="1" applyFill="1" applyBorder="1" applyProtection="1"/>
    <xf numFmtId="9" fontId="7" fillId="0" borderId="0" xfId="559" applyFont="1" applyFill="1" applyBorder="1" applyProtection="1"/>
    <xf numFmtId="170" fontId="7" fillId="0" borderId="0" xfId="117" applyNumberFormat="1" applyFont="1" applyFill="1" applyBorder="1" applyAlignment="1" applyProtection="1"/>
    <xf numFmtId="41" fontId="56" fillId="0" borderId="0" xfId="0" applyNumberFormat="1" applyFont="1" applyProtection="1"/>
    <xf numFmtId="10" fontId="0" fillId="0" borderId="0" xfId="0" applyNumberFormat="1" applyProtection="1"/>
    <xf numFmtId="164" fontId="1" fillId="0" borderId="0" xfId="559" applyNumberFormat="1" applyProtection="1"/>
    <xf numFmtId="0" fontId="7" fillId="0" borderId="47" xfId="0" quotePrefix="1" applyFont="1" applyFill="1" applyBorder="1" applyAlignment="1" applyProtection="1">
      <alignment horizontal="left"/>
    </xf>
    <xf numFmtId="0" fontId="0" fillId="0" borderId="19" xfId="0" applyBorder="1" applyProtection="1"/>
    <xf numFmtId="0" fontId="54" fillId="0" borderId="41" xfId="0" quotePrefix="1" applyFont="1" applyFill="1" applyBorder="1" applyAlignment="1" applyProtection="1">
      <alignment horizontal="right"/>
    </xf>
    <xf numFmtId="10" fontId="54" fillId="0" borderId="41" xfId="0" applyNumberFormat="1" applyFont="1" applyBorder="1" applyProtection="1"/>
    <xf numFmtId="170" fontId="54" fillId="0" borderId="41" xfId="317" applyNumberFormat="1" applyFont="1" applyBorder="1" applyProtection="1"/>
    <xf numFmtId="166" fontId="54" fillId="0" borderId="41" xfId="0" applyNumberFormat="1" applyFont="1" applyBorder="1" applyProtection="1"/>
    <xf numFmtId="3" fontId="54" fillId="0" borderId="43" xfId="0" applyNumberFormat="1" applyFont="1" applyBorder="1" applyProtection="1"/>
    <xf numFmtId="0" fontId="54" fillId="0" borderId="14" xfId="0" applyFont="1" applyBorder="1" applyProtection="1"/>
    <xf numFmtId="0" fontId="7" fillId="0" borderId="14" xfId="0" applyFont="1" applyFill="1" applyBorder="1" applyProtection="1"/>
    <xf numFmtId="170" fontId="54" fillId="0" borderId="41" xfId="0" applyNumberFormat="1" applyFont="1" applyBorder="1" applyProtection="1"/>
    <xf numFmtId="170" fontId="54" fillId="0" borderId="42" xfId="0" applyNumberFormat="1" applyFont="1" applyBorder="1" applyProtection="1"/>
    <xf numFmtId="170" fontId="54" fillId="0" borderId="45" xfId="0" applyNumberFormat="1" applyFont="1" applyBorder="1" applyProtection="1"/>
    <xf numFmtId="171" fontId="54" fillId="0" borderId="25" xfId="0" applyNumberFormat="1" applyFont="1" applyBorder="1" applyProtection="1"/>
    <xf numFmtId="0" fontId="50" fillId="0" borderId="0" xfId="0" quotePrefix="1" applyFont="1" applyAlignment="1" applyProtection="1">
      <alignment horizontal="left"/>
    </xf>
    <xf numFmtId="0" fontId="46" fillId="0" borderId="0" xfId="0" applyFont="1" applyAlignment="1" applyProtection="1">
      <alignment horizontal="right"/>
    </xf>
    <xf numFmtId="0" fontId="67" fillId="0" borderId="0" xfId="0" applyFont="1" applyFill="1" applyAlignment="1" applyProtection="1">
      <alignment horizontal="right"/>
    </xf>
    <xf numFmtId="0" fontId="46" fillId="0" borderId="0" xfId="0" quotePrefix="1" applyFont="1" applyAlignment="1" applyProtection="1">
      <alignment horizontal="right"/>
    </xf>
    <xf numFmtId="0" fontId="68" fillId="0" borderId="0" xfId="0" quotePrefix="1" applyFont="1" applyAlignment="1" applyProtection="1">
      <alignment horizontal="left"/>
    </xf>
    <xf numFmtId="0" fontId="39" fillId="0" borderId="0" xfId="0" applyFont="1" applyAlignment="1" applyProtection="1">
      <alignment horizontal="left"/>
    </xf>
    <xf numFmtId="0" fontId="51" fillId="27" borderId="0" xfId="117" applyNumberFormat="1" applyFont="1" applyFill="1" applyAlignment="1" applyProtection="1">
      <alignment horizontal="left"/>
    </xf>
    <xf numFmtId="0" fontId="39" fillId="0" borderId="17" xfId="0" applyFont="1" applyBorder="1" applyProtection="1"/>
    <xf numFmtId="0" fontId="39" fillId="0" borderId="18" xfId="0" applyFont="1" applyBorder="1" applyProtection="1"/>
    <xf numFmtId="0" fontId="7" fillId="0" borderId="18" xfId="0" applyFont="1" applyBorder="1" applyProtection="1"/>
    <xf numFmtId="170" fontId="39" fillId="0" borderId="19" xfId="117" applyNumberFormat="1" applyFont="1" applyBorder="1" applyProtection="1"/>
    <xf numFmtId="0" fontId="14" fillId="0" borderId="0" xfId="117" applyNumberFormat="1" applyFont="1" applyFill="1" applyAlignment="1" applyProtection="1">
      <alignment horizontal="left"/>
    </xf>
    <xf numFmtId="0" fontId="14" fillId="0" borderId="0" xfId="117" applyNumberFormat="1" applyFont="1" applyFill="1" applyBorder="1" applyAlignment="1" applyProtection="1">
      <alignment horizontal="left"/>
    </xf>
    <xf numFmtId="0" fontId="39" fillId="0" borderId="13" xfId="0" applyFont="1" applyBorder="1" applyProtection="1"/>
    <xf numFmtId="0" fontId="9" fillId="0" borderId="0" xfId="117" applyNumberFormat="1" applyFont="1" applyFill="1" applyBorder="1" applyAlignment="1" applyProtection="1">
      <alignment horizontal="left"/>
    </xf>
    <xf numFmtId="170" fontId="39" fillId="0" borderId="20" xfId="117" applyNumberFormat="1" applyFont="1" applyBorder="1" applyProtection="1"/>
    <xf numFmtId="0" fontId="39" fillId="0" borderId="0" xfId="0" applyFont="1" applyFill="1" applyProtection="1"/>
    <xf numFmtId="0" fontId="52" fillId="0" borderId="0" xfId="0" quotePrefix="1" applyFont="1" applyFill="1" applyAlignment="1" applyProtection="1">
      <alignment horizontal="left"/>
    </xf>
    <xf numFmtId="170" fontId="39" fillId="0" borderId="15" xfId="117" applyNumberFormat="1" applyFont="1" applyBorder="1" applyProtection="1"/>
    <xf numFmtId="170" fontId="7" fillId="0" borderId="6" xfId="117" applyNumberFormat="1" applyFont="1" applyBorder="1" applyProtection="1"/>
    <xf numFmtId="170" fontId="7" fillId="0" borderId="16" xfId="117" applyNumberFormat="1" applyFont="1" applyBorder="1" applyProtection="1"/>
    <xf numFmtId="0" fontId="53" fillId="0" borderId="0" xfId="0" applyFont="1" applyFill="1" applyAlignment="1" applyProtection="1"/>
    <xf numFmtId="0" fontId="55" fillId="0" borderId="0" xfId="0" applyFont="1" applyFill="1" applyAlignment="1" applyProtection="1"/>
    <xf numFmtId="0" fontId="7" fillId="0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39" fillId="0" borderId="21" xfId="0" applyFont="1" applyFill="1" applyBorder="1" applyAlignment="1" applyProtection="1">
      <alignment horizontal="center"/>
    </xf>
    <xf numFmtId="0" fontId="61" fillId="28" borderId="22" xfId="0" applyFont="1" applyFill="1" applyBorder="1" applyAlignment="1" applyProtection="1">
      <alignment horizontal="center"/>
    </xf>
    <xf numFmtId="0" fontId="39" fillId="0" borderId="22" xfId="0" applyFont="1" applyFill="1" applyBorder="1" applyAlignment="1" applyProtection="1">
      <alignment horizontal="center"/>
    </xf>
    <xf numFmtId="0" fontId="39" fillId="0" borderId="23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7" fillId="0" borderId="13" xfId="0" quotePrefix="1" applyFont="1" applyFill="1" applyBorder="1" applyAlignment="1" applyProtection="1">
      <alignment horizontal="left"/>
    </xf>
    <xf numFmtId="170" fontId="54" fillId="27" borderId="14" xfId="117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39" fillId="0" borderId="19" xfId="0" applyFont="1" applyFill="1" applyBorder="1" applyAlignment="1" applyProtection="1">
      <alignment horizontal="center"/>
    </xf>
    <xf numFmtId="0" fontId="7" fillId="0" borderId="13" xfId="0" applyFont="1" applyFill="1" applyBorder="1" applyProtection="1"/>
    <xf numFmtId="0" fontId="54" fillId="27" borderId="14" xfId="0" applyFont="1" applyFill="1" applyBorder="1" applyAlignment="1" applyProtection="1">
      <alignment horizontal="right"/>
    </xf>
    <xf numFmtId="170" fontId="7" fillId="0" borderId="14" xfId="0" applyNumberFormat="1" applyFont="1" applyFill="1" applyBorder="1" applyAlignment="1" applyProtection="1">
      <alignment horizontal="right"/>
    </xf>
    <xf numFmtId="170" fontId="7" fillId="0" borderId="0" xfId="0" applyNumberFormat="1" applyFont="1" applyFill="1" applyBorder="1" applyAlignment="1" applyProtection="1">
      <alignment horizontal="right"/>
    </xf>
    <xf numFmtId="10" fontId="7" fillId="0" borderId="14" xfId="0" applyNumberFormat="1" applyFont="1" applyBorder="1" applyProtection="1"/>
    <xf numFmtId="170" fontId="7" fillId="0" borderId="14" xfId="117" applyNumberFormat="1" applyFont="1" applyBorder="1" applyProtection="1"/>
    <xf numFmtId="0" fontId="39" fillId="0" borderId="24" xfId="0" applyFont="1" applyBorder="1" applyAlignment="1" applyProtection="1">
      <alignment horizontal="center"/>
    </xf>
    <xf numFmtId="170" fontId="39" fillId="0" borderId="24" xfId="117" applyNumberFormat="1" applyFont="1" applyBorder="1" applyAlignment="1" applyProtection="1">
      <alignment horizontal="center"/>
    </xf>
    <xf numFmtId="170" fontId="39" fillId="27" borderId="19" xfId="117" quotePrefix="1" applyNumberFormat="1" applyFont="1" applyFill="1" applyBorder="1" applyAlignment="1" applyProtection="1">
      <alignment horizontal="center" wrapText="1"/>
    </xf>
    <xf numFmtId="170" fontId="39" fillId="0" borderId="19" xfId="117" quotePrefix="1" applyNumberFormat="1" applyFont="1" applyBorder="1" applyAlignment="1" applyProtection="1">
      <alignment horizontal="center" wrapText="1"/>
    </xf>
    <xf numFmtId="0" fontId="39" fillId="0" borderId="25" xfId="0" applyFont="1" applyBorder="1" applyAlignment="1" applyProtection="1">
      <alignment horizontal="center"/>
    </xf>
    <xf numFmtId="170" fontId="39" fillId="0" borderId="24" xfId="117" quotePrefix="1" applyNumberFormat="1" applyFont="1" applyBorder="1" applyAlignment="1" applyProtection="1">
      <alignment horizontal="center" wrapText="1"/>
    </xf>
    <xf numFmtId="170" fontId="39" fillId="0" borderId="24" xfId="117" applyNumberFormat="1" applyFont="1" applyFill="1" applyBorder="1" applyAlignment="1" applyProtection="1">
      <alignment horizontal="center" wrapText="1"/>
    </xf>
    <xf numFmtId="170" fontId="39" fillId="0" borderId="24" xfId="117" applyNumberFormat="1" applyFont="1" applyBorder="1" applyAlignment="1" applyProtection="1">
      <alignment horizontal="center" wrapText="1"/>
    </xf>
    <xf numFmtId="0" fontId="39" fillId="0" borderId="26" xfId="0" applyFont="1" applyBorder="1" applyAlignment="1" applyProtection="1">
      <alignment horizontal="center"/>
    </xf>
    <xf numFmtId="170" fontId="39" fillId="27" borderId="16" xfId="117" applyNumberFormat="1" applyFont="1" applyFill="1" applyBorder="1" applyAlignment="1" applyProtection="1">
      <alignment horizontal="center"/>
    </xf>
    <xf numFmtId="170" fontId="39" fillId="0" borderId="16" xfId="117" applyNumberFormat="1" applyFont="1" applyBorder="1" applyAlignment="1" applyProtection="1">
      <alignment horizontal="center"/>
    </xf>
    <xf numFmtId="0" fontId="39" fillId="0" borderId="26" xfId="0" applyFont="1" applyFill="1" applyBorder="1" applyAlignment="1" applyProtection="1">
      <alignment horizontal="center"/>
    </xf>
    <xf numFmtId="0" fontId="39" fillId="0" borderId="25" xfId="0" applyFont="1" applyFill="1" applyBorder="1" applyAlignment="1" applyProtection="1">
      <alignment horizontal="center"/>
    </xf>
    <xf numFmtId="170" fontId="39" fillId="0" borderId="26" xfId="117" applyNumberFormat="1" applyFont="1" applyBorder="1" applyAlignment="1" applyProtection="1">
      <alignment horizontal="center"/>
    </xf>
    <xf numFmtId="170" fontId="39" fillId="0" borderId="26" xfId="117" applyNumberFormat="1" applyFont="1" applyFill="1" applyBorder="1" applyAlignment="1" applyProtection="1">
      <alignment horizontal="center"/>
    </xf>
    <xf numFmtId="170" fontId="39" fillId="0" borderId="15" xfId="117" applyNumberFormat="1" applyFont="1" applyFill="1" applyBorder="1" applyAlignment="1" applyProtection="1">
      <alignment horizontal="center"/>
    </xf>
    <xf numFmtId="0" fontId="7" fillId="0" borderId="25" xfId="0" applyNumberFormat="1" applyFont="1" applyBorder="1" applyAlignment="1" applyProtection="1">
      <alignment horizontal="center"/>
    </xf>
    <xf numFmtId="170" fontId="54" fillId="27" borderId="0" xfId="0" applyNumberFormat="1" applyFont="1" applyFill="1" applyBorder="1" applyProtection="1"/>
    <xf numFmtId="170" fontId="54" fillId="27" borderId="24" xfId="117" applyNumberFormat="1" applyFont="1" applyFill="1" applyBorder="1" applyProtection="1"/>
    <xf numFmtId="171" fontId="7" fillId="0" borderId="14" xfId="0" applyNumberFormat="1" applyFont="1" applyBorder="1" applyProtection="1"/>
    <xf numFmtId="171" fontId="54" fillId="0" borderId="25" xfId="0" applyNumberFormat="1" applyFont="1" applyFill="1" applyBorder="1" applyProtection="1"/>
    <xf numFmtId="171" fontId="7" fillId="0" borderId="24" xfId="0" applyNumberFormat="1" applyFont="1" applyBorder="1" applyProtection="1"/>
    <xf numFmtId="171" fontId="7" fillId="0" borderId="25" xfId="0" applyNumberFormat="1" applyFont="1" applyBorder="1" applyProtection="1"/>
    <xf numFmtId="170" fontId="54" fillId="27" borderId="25" xfId="0" applyNumberFormat="1" applyFont="1" applyFill="1" applyBorder="1" applyProtection="1"/>
    <xf numFmtId="170" fontId="54" fillId="27" borderId="25" xfId="117" applyNumberFormat="1" applyFont="1" applyFill="1" applyBorder="1" applyProtection="1"/>
    <xf numFmtId="170" fontId="54" fillId="27" borderId="14" xfId="117" applyNumberFormat="1" applyFont="1" applyFill="1" applyBorder="1" applyProtection="1"/>
    <xf numFmtId="0" fontId="7" fillId="0" borderId="25" xfId="0" applyNumberFormat="1" applyFont="1" applyFill="1" applyBorder="1" applyAlignment="1" applyProtection="1">
      <alignment horizontal="center"/>
    </xf>
    <xf numFmtId="170" fontId="7" fillId="0" borderId="25" xfId="0" applyNumberFormat="1" applyFont="1" applyFill="1" applyBorder="1" applyProtection="1"/>
    <xf numFmtId="170" fontId="1" fillId="0" borderId="25" xfId="117" applyNumberFormat="1" applyBorder="1" applyProtection="1"/>
    <xf numFmtId="170" fontId="7" fillId="0" borderId="25" xfId="0" applyNumberFormat="1" applyFont="1" applyBorder="1" applyProtection="1"/>
    <xf numFmtId="170" fontId="7" fillId="0" borderId="25" xfId="117" applyNumberFormat="1" applyFont="1" applyBorder="1" applyProtection="1"/>
    <xf numFmtId="171" fontId="54" fillId="27" borderId="25" xfId="0" applyNumberFormat="1" applyFont="1" applyFill="1" applyBorder="1" applyProtection="1"/>
    <xf numFmtId="170" fontId="7" fillId="0" borderId="25" xfId="117" applyNumberFormat="1" applyFont="1" applyFill="1" applyBorder="1" applyProtection="1"/>
    <xf numFmtId="0" fontId="7" fillId="0" borderId="26" xfId="0" applyNumberFormat="1" applyFont="1" applyBorder="1" applyAlignment="1" applyProtection="1">
      <alignment horizontal="center"/>
    </xf>
    <xf numFmtId="170" fontId="7" fillId="0" borderId="26" xfId="0" applyNumberFormat="1" applyFont="1" applyBorder="1" applyProtection="1"/>
    <xf numFmtId="170" fontId="1" fillId="0" borderId="26" xfId="117" applyNumberFormat="1" applyBorder="1" applyProtection="1"/>
    <xf numFmtId="170" fontId="7" fillId="0" borderId="26" xfId="117" applyNumberFormat="1" applyFont="1" applyFill="1" applyBorder="1" applyProtection="1"/>
    <xf numFmtId="171" fontId="7" fillId="0" borderId="16" xfId="0" applyNumberFormat="1" applyFont="1" applyBorder="1" applyProtection="1"/>
    <xf numFmtId="171" fontId="54" fillId="27" borderId="26" xfId="0" applyNumberFormat="1" applyFont="1" applyFill="1" applyBorder="1" applyProtection="1"/>
    <xf numFmtId="171" fontId="7" fillId="0" borderId="26" xfId="0" applyNumberFormat="1" applyFont="1" applyBorder="1" applyProtection="1"/>
    <xf numFmtId="0" fontId="53" fillId="0" borderId="0" xfId="0" applyFont="1" applyFill="1" applyProtection="1"/>
    <xf numFmtId="0" fontId="46" fillId="0" borderId="0" xfId="0" applyFont="1" applyFill="1" applyAlignment="1" applyProtection="1">
      <alignment horizontal="right"/>
    </xf>
    <xf numFmtId="0" fontId="69" fillId="0" borderId="0" xfId="0" applyFont="1" applyProtection="1"/>
    <xf numFmtId="0" fontId="7" fillId="0" borderId="0" xfId="0" applyFont="1" applyAlignment="1" applyProtection="1">
      <alignment horizontal="left"/>
    </xf>
    <xf numFmtId="0" fontId="46" fillId="0" borderId="0" xfId="0" quotePrefix="1" applyFont="1" applyAlignment="1" applyProtection="1">
      <alignment horizontal="center"/>
    </xf>
    <xf numFmtId="0" fontId="9" fillId="0" borderId="0" xfId="0" applyFont="1" applyFill="1" applyProtection="1"/>
    <xf numFmtId="0" fontId="39" fillId="0" borderId="28" xfId="0" applyFont="1" applyFill="1" applyBorder="1" applyAlignment="1" applyProtection="1">
      <alignment horizontal="center"/>
    </xf>
    <xf numFmtId="169" fontId="7" fillId="0" borderId="29" xfId="549" applyFont="1" applyBorder="1" applyAlignment="1" applyProtection="1">
      <alignment horizontal="center"/>
    </xf>
    <xf numFmtId="169" fontId="7" fillId="0" borderId="29" xfId="549" quotePrefix="1" applyFont="1" applyBorder="1" applyAlignment="1" applyProtection="1">
      <alignment horizontal="center"/>
    </xf>
    <xf numFmtId="3" fontId="7" fillId="0" borderId="30" xfId="549" applyNumberFormat="1" applyFont="1" applyBorder="1" applyAlignment="1" applyProtection="1">
      <alignment horizontal="center"/>
    </xf>
    <xf numFmtId="0" fontId="55" fillId="0" borderId="24" xfId="0" applyFont="1" applyBorder="1" applyProtection="1"/>
    <xf numFmtId="170" fontId="7" fillId="0" borderId="13" xfId="117" quotePrefix="1" applyNumberFormat="1" applyFont="1" applyBorder="1" applyAlignment="1" applyProtection="1">
      <alignment horizontal="right"/>
    </xf>
    <xf numFmtId="170" fontId="39" fillId="0" borderId="0" xfId="117" applyNumberFormat="1" applyFont="1" applyBorder="1" applyProtection="1"/>
    <xf numFmtId="170" fontId="7" fillId="0" borderId="14" xfId="0" applyNumberFormat="1" applyFont="1" applyBorder="1" applyProtection="1"/>
    <xf numFmtId="0" fontId="57" fillId="0" borderId="31" xfId="117" applyNumberFormat="1" applyFont="1" applyFill="1" applyBorder="1" applyAlignment="1" applyProtection="1">
      <alignment horizontal="left"/>
    </xf>
    <xf numFmtId="170" fontId="7" fillId="0" borderId="32" xfId="117" quotePrefix="1" applyNumberFormat="1" applyFont="1" applyBorder="1" applyAlignment="1" applyProtection="1">
      <alignment horizontal="right"/>
    </xf>
    <xf numFmtId="170" fontId="39" fillId="0" borderId="11" xfId="117" applyNumberFormat="1" applyFont="1" applyBorder="1" applyProtection="1"/>
    <xf numFmtId="170" fontId="7" fillId="0" borderId="20" xfId="0" applyNumberFormat="1" applyFont="1" applyBorder="1" applyProtection="1"/>
    <xf numFmtId="0" fontId="52" fillId="0" borderId="0" xfId="0" applyFont="1" applyAlignment="1" applyProtection="1">
      <alignment horizontal="left"/>
    </xf>
    <xf numFmtId="170" fontId="55" fillId="0" borderId="26" xfId="117" applyNumberFormat="1" applyFont="1" applyBorder="1" applyProtection="1"/>
    <xf numFmtId="0" fontId="7" fillId="0" borderId="15" xfId="0" quotePrefix="1" applyFont="1" applyBorder="1" applyAlignment="1" applyProtection="1">
      <alignment horizontal="right"/>
    </xf>
    <xf numFmtId="170" fontId="39" fillId="0" borderId="6" xfId="117" applyNumberFormat="1" applyFont="1" applyFill="1" applyBorder="1" applyAlignment="1" applyProtection="1">
      <alignment horizontal="left"/>
    </xf>
    <xf numFmtId="170" fontId="39" fillId="0" borderId="16" xfId="117" applyNumberFormat="1" applyFont="1" applyFill="1" applyBorder="1" applyAlignment="1" applyProtection="1">
      <alignment horizontal="left"/>
    </xf>
    <xf numFmtId="170" fontId="55" fillId="0" borderId="0" xfId="0" applyNumberFormat="1" applyFont="1" applyAlignment="1" applyProtection="1">
      <alignment horizontal="left"/>
    </xf>
    <xf numFmtId="0" fontId="7" fillId="0" borderId="21" xfId="0" applyFont="1" applyFill="1" applyBorder="1" applyAlignment="1" applyProtection="1">
      <alignment horizontal="center"/>
    </xf>
    <xf numFmtId="0" fontId="39" fillId="0" borderId="22" xfId="0" applyFont="1" applyFill="1" applyBorder="1" applyAlignment="1" applyProtection="1"/>
    <xf numFmtId="0" fontId="0" fillId="0" borderId="22" xfId="0" applyBorder="1" applyAlignment="1" applyProtection="1"/>
    <xf numFmtId="0" fontId="0" fillId="0" borderId="23" xfId="0" applyBorder="1" applyAlignment="1" applyProtection="1"/>
    <xf numFmtId="0" fontId="0" fillId="0" borderId="0" xfId="0" applyFill="1" applyBorder="1" applyAlignment="1" applyProtection="1"/>
    <xf numFmtId="0" fontId="7" fillId="0" borderId="14" xfId="0" applyFont="1" applyFill="1" applyBorder="1" applyAlignment="1" applyProtection="1">
      <alignment horizontal="right"/>
    </xf>
    <xf numFmtId="170" fontId="7" fillId="0" borderId="14" xfId="117" applyNumberFormat="1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7" fillId="0" borderId="15" xfId="0" applyFont="1" applyBorder="1" applyProtection="1"/>
    <xf numFmtId="0" fontId="7" fillId="0" borderId="6" xfId="0" applyFont="1" applyBorder="1" applyAlignment="1" applyProtection="1">
      <alignment horizontal="center"/>
    </xf>
    <xf numFmtId="0" fontId="0" fillId="0" borderId="6" xfId="0" applyBorder="1" applyProtection="1"/>
    <xf numFmtId="0" fontId="39" fillId="0" borderId="24" xfId="0" applyFont="1" applyBorder="1" applyAlignment="1" applyProtection="1">
      <alignment horizontal="center" wrapText="1"/>
    </xf>
    <xf numFmtId="170" fontId="39" fillId="0" borderId="0" xfId="117" applyNumberFormat="1" applyFont="1" applyBorder="1" applyAlignment="1" applyProtection="1">
      <alignment horizontal="center" wrapText="1"/>
    </xf>
    <xf numFmtId="170" fontId="39" fillId="27" borderId="24" xfId="117" quotePrefix="1" applyNumberFormat="1" applyFont="1" applyFill="1" applyBorder="1" applyAlignment="1" applyProtection="1">
      <alignment horizontal="center" wrapText="1"/>
    </xf>
    <xf numFmtId="0" fontId="39" fillId="0" borderId="25" xfId="0" applyFont="1" applyBorder="1" applyAlignment="1" applyProtection="1">
      <alignment horizontal="center" wrapText="1"/>
    </xf>
    <xf numFmtId="0" fontId="39" fillId="0" borderId="6" xfId="0" applyFont="1" applyBorder="1" applyAlignment="1" applyProtection="1">
      <alignment horizontal="center"/>
    </xf>
    <xf numFmtId="170" fontId="39" fillId="27" borderId="26" xfId="117" applyNumberFormat="1" applyFont="1" applyFill="1" applyBorder="1" applyAlignment="1" applyProtection="1">
      <alignment horizontal="center"/>
    </xf>
    <xf numFmtId="170" fontId="54" fillId="27" borderId="24" xfId="0" applyNumberFormat="1" applyFont="1" applyFill="1" applyBorder="1" applyProtection="1"/>
    <xf numFmtId="168" fontId="54" fillId="27" borderId="25" xfId="117" applyNumberFormat="1" applyFont="1" applyFill="1" applyBorder="1" applyProtection="1"/>
    <xf numFmtId="168" fontId="54" fillId="27" borderId="14" xfId="117" applyNumberFormat="1" applyFont="1" applyFill="1" applyBorder="1" applyProtection="1"/>
    <xf numFmtId="171" fontId="54" fillId="29" borderId="25" xfId="0" applyNumberFormat="1" applyFont="1" applyFill="1" applyBorder="1" applyProtection="1"/>
    <xf numFmtId="171" fontId="7" fillId="29" borderId="25" xfId="0" applyNumberFormat="1" applyFont="1" applyFill="1" applyBorder="1" applyProtection="1"/>
    <xf numFmtId="170" fontId="7" fillId="0" borderId="14" xfId="117" applyNumberFormat="1" applyFont="1" applyFill="1" applyBorder="1" applyProtection="1"/>
    <xf numFmtId="170" fontId="7" fillId="0" borderId="6" xfId="0" applyNumberFormat="1" applyFont="1" applyBorder="1" applyProtection="1"/>
    <xf numFmtId="170" fontId="7" fillId="0" borderId="26" xfId="117" applyNumberFormat="1" applyFont="1" applyBorder="1" applyProtection="1"/>
    <xf numFmtId="170" fontId="7" fillId="0" borderId="16" xfId="117" applyNumberFormat="1" applyFont="1" applyFill="1" applyBorder="1" applyProtection="1"/>
    <xf numFmtId="0" fontId="55" fillId="0" borderId="0" xfId="0" applyFont="1" applyProtection="1"/>
    <xf numFmtId="0" fontId="58" fillId="0" borderId="0" xfId="0" applyFont="1" applyFill="1" applyProtection="1"/>
    <xf numFmtId="0" fontId="46" fillId="0" borderId="0" xfId="0" applyFont="1" applyAlignment="1" applyProtection="1">
      <alignment horizontal="center"/>
    </xf>
    <xf numFmtId="0" fontId="68" fillId="0" borderId="0" xfId="0" applyFont="1" applyProtection="1"/>
    <xf numFmtId="171" fontId="7" fillId="0" borderId="25" xfId="0" applyNumberFormat="1" applyFont="1" applyFill="1" applyBorder="1" applyProtection="1"/>
    <xf numFmtId="175" fontId="5" fillId="0" borderId="14" xfId="0" applyNumberFormat="1" applyFont="1" applyBorder="1" applyProtection="1"/>
    <xf numFmtId="176" fontId="7" fillId="0" borderId="14" xfId="117" applyNumberFormat="1" applyFont="1" applyBorder="1" applyProtection="1"/>
    <xf numFmtId="171" fontId="46" fillId="0" borderId="0" xfId="0" quotePrefix="1" applyNumberFormat="1" applyFont="1" applyBorder="1" applyAlignment="1" applyProtection="1">
      <alignment horizontal="center"/>
    </xf>
    <xf numFmtId="171" fontId="54" fillId="0" borderId="24" xfId="0" applyNumberFormat="1" applyFont="1" applyFill="1" applyBorder="1" applyProtection="1"/>
    <xf numFmtId="0" fontId="50" fillId="0" borderId="0" xfId="0" applyFont="1" applyProtection="1"/>
    <xf numFmtId="43" fontId="0" fillId="0" borderId="0" xfId="117" applyFont="1" applyProtection="1"/>
    <xf numFmtId="170" fontId="39" fillId="0" borderId="25" xfId="117" applyNumberFormat="1" applyFont="1" applyBorder="1" applyAlignment="1" applyProtection="1">
      <alignment horizontal="center"/>
    </xf>
    <xf numFmtId="170" fontId="54" fillId="27" borderId="0" xfId="0" quotePrefix="1" applyNumberFormat="1" applyFont="1" applyFill="1" applyBorder="1" applyAlignment="1" applyProtection="1">
      <alignment horizontal="left"/>
    </xf>
    <xf numFmtId="171" fontId="7" fillId="0" borderId="19" xfId="0" applyNumberFormat="1" applyFont="1" applyBorder="1" applyProtection="1"/>
    <xf numFmtId="0" fontId="39" fillId="0" borderId="13" xfId="0" applyFont="1" applyFill="1" applyBorder="1" applyAlignment="1" applyProtection="1">
      <alignment horizontal="center"/>
    </xf>
    <xf numFmtId="170" fontId="64" fillId="27" borderId="25" xfId="117" applyNumberFormat="1" applyFont="1" applyFill="1" applyBorder="1" applyProtection="1"/>
    <xf numFmtId="171" fontId="7" fillId="0" borderId="24" xfId="0" applyNumberFormat="1" applyFont="1" applyFill="1" applyBorder="1" applyProtection="1"/>
    <xf numFmtId="0" fontId="55" fillId="0" borderId="0" xfId="0" quotePrefix="1" applyFont="1" applyAlignment="1" applyProtection="1">
      <alignment horizontal="left"/>
    </xf>
    <xf numFmtId="0" fontId="52" fillId="0" borderId="0" xfId="0" applyFont="1" applyFill="1" applyAlignment="1" applyProtection="1">
      <alignment horizontal="left"/>
    </xf>
    <xf numFmtId="0" fontId="68" fillId="0" borderId="0" xfId="0" applyFont="1" applyAlignment="1" applyProtection="1">
      <alignment horizontal="center"/>
    </xf>
    <xf numFmtId="0" fontId="68" fillId="0" borderId="0" xfId="0" applyFont="1" applyFill="1" applyAlignment="1" applyProtection="1">
      <alignment horizontal="center"/>
    </xf>
    <xf numFmtId="171" fontId="54" fillId="29" borderId="24" xfId="0" applyNumberFormat="1" applyFont="1" applyFill="1" applyBorder="1" applyProtection="1"/>
    <xf numFmtId="171" fontId="7" fillId="29" borderId="24" xfId="0" applyNumberFormat="1" applyFont="1" applyFill="1" applyBorder="1" applyProtection="1"/>
    <xf numFmtId="0" fontId="84" fillId="0" borderId="0" xfId="549" applyNumberFormat="1" applyFont="1" applyFill="1" applyBorder="1" applyAlignment="1" applyProtection="1"/>
    <xf numFmtId="0" fontId="83" fillId="0" borderId="0" xfId="0" applyFont="1" applyAlignment="1" applyProtection="1">
      <alignment horizontal="left"/>
    </xf>
    <xf numFmtId="0" fontId="83" fillId="0" borderId="0" xfId="549" applyNumberFormat="1" applyFont="1" applyFill="1" applyBorder="1" applyAlignment="1" applyProtection="1"/>
    <xf numFmtId="0" fontId="61" fillId="28" borderId="22" xfId="0" quotePrefix="1" applyFont="1" applyFill="1" applyBorder="1" applyAlignment="1" applyProtection="1">
      <alignment horizontal="center"/>
    </xf>
    <xf numFmtId="170" fontId="54" fillId="27" borderId="13" xfId="0" applyNumberFormat="1" applyFont="1" applyFill="1" applyBorder="1" applyProtection="1"/>
    <xf numFmtId="171" fontId="7" fillId="0" borderId="13" xfId="0" applyNumberFormat="1" applyFont="1" applyBorder="1" applyProtection="1"/>
    <xf numFmtId="171" fontId="7" fillId="29" borderId="0" xfId="0" applyNumberFormat="1" applyFont="1" applyFill="1" applyBorder="1" applyProtection="1"/>
    <xf numFmtId="170" fontId="7" fillId="0" borderId="15" xfId="0" applyNumberFormat="1" applyFont="1" applyBorder="1" applyProtection="1"/>
    <xf numFmtId="0" fontId="7" fillId="0" borderId="22" xfId="0" applyFont="1" applyFill="1" applyBorder="1" applyAlignment="1" applyProtection="1">
      <alignment horizontal="left"/>
    </xf>
    <xf numFmtId="170" fontId="82" fillId="27" borderId="0" xfId="0" applyNumberFormat="1" applyFont="1" applyFill="1" applyBorder="1" applyProtection="1"/>
    <xf numFmtId="170" fontId="82" fillId="27" borderId="25" xfId="117" applyNumberFormat="1" applyFont="1" applyFill="1" applyBorder="1" applyProtection="1"/>
    <xf numFmtId="170" fontId="82" fillId="27" borderId="25" xfId="0" applyNumberFormat="1" applyFont="1" applyFill="1" applyBorder="1" applyProtection="1"/>
    <xf numFmtId="170" fontId="82" fillId="27" borderId="24" xfId="0" applyNumberFormat="1" applyFont="1" applyFill="1" applyBorder="1" applyProtection="1"/>
    <xf numFmtId="168" fontId="82" fillId="27" borderId="25" xfId="117" applyNumberFormat="1" applyFont="1" applyFill="1" applyBorder="1" applyProtection="1"/>
    <xf numFmtId="168" fontId="82" fillId="27" borderId="14" xfId="117" applyNumberFormat="1" applyFont="1" applyFill="1" applyBorder="1" applyProtection="1"/>
    <xf numFmtId="170" fontId="85" fillId="27" borderId="0" xfId="0" applyNumberFormat="1" applyFont="1" applyFill="1" applyBorder="1" applyProtection="1"/>
    <xf numFmtId="170" fontId="85" fillId="27" borderId="25" xfId="117" applyNumberFormat="1" applyFont="1" applyFill="1" applyBorder="1" applyProtection="1"/>
    <xf numFmtId="170" fontId="85" fillId="27" borderId="25" xfId="0" applyNumberFormat="1" applyFont="1" applyFill="1" applyBorder="1" applyProtection="1"/>
    <xf numFmtId="170" fontId="85" fillId="27" borderId="14" xfId="117" applyNumberFormat="1" applyFont="1" applyFill="1" applyBorder="1" applyProtection="1"/>
    <xf numFmtId="170" fontId="54" fillId="27" borderId="14" xfId="0" applyNumberFormat="1" applyFont="1" applyFill="1" applyBorder="1" applyProtection="1"/>
    <xf numFmtId="171" fontId="7" fillId="0" borderId="18" xfId="0" applyNumberFormat="1" applyFont="1" applyFill="1" applyBorder="1" applyProtection="1"/>
    <xf numFmtId="0" fontId="0" fillId="0" borderId="24" xfId="0" applyBorder="1" applyAlignment="1" applyProtection="1">
      <alignment horizontal="center"/>
    </xf>
    <xf numFmtId="43" fontId="77" fillId="27" borderId="24" xfId="117" applyFont="1" applyFill="1" applyBorder="1" applyAlignment="1" applyProtection="1">
      <alignment horizontal="right"/>
    </xf>
    <xf numFmtId="43" fontId="77" fillId="27" borderId="24" xfId="117" applyFont="1" applyFill="1" applyBorder="1" applyProtection="1"/>
    <xf numFmtId="43" fontId="1" fillId="27" borderId="24" xfId="117" applyFill="1" applyBorder="1" applyProtection="1"/>
    <xf numFmtId="43" fontId="0" fillId="0" borderId="24" xfId="117" applyFont="1" applyBorder="1" applyProtection="1"/>
    <xf numFmtId="43" fontId="77" fillId="27" borderId="25" xfId="117" applyFont="1" applyFill="1" applyBorder="1" applyAlignment="1" applyProtection="1">
      <alignment horizontal="center"/>
    </xf>
    <xf numFmtId="43" fontId="77" fillId="27" borderId="25" xfId="117" applyFont="1" applyFill="1" applyBorder="1" applyProtection="1"/>
    <xf numFmtId="43" fontId="1" fillId="27" borderId="25" xfId="117" applyFill="1" applyBorder="1" applyProtection="1"/>
    <xf numFmtId="43" fontId="0" fillId="0" borderId="25" xfId="117" applyFont="1" applyBorder="1" applyProtection="1"/>
    <xf numFmtId="0" fontId="52" fillId="27" borderId="0" xfId="0" applyFont="1" applyFill="1" applyAlignment="1" applyProtection="1">
      <alignment horizontal="left"/>
    </xf>
    <xf numFmtId="0" fontId="7" fillId="27" borderId="0" xfId="0" applyFont="1" applyFill="1" applyProtection="1"/>
    <xf numFmtId="170" fontId="82" fillId="27" borderId="24" xfId="117" applyNumberFormat="1" applyFont="1" applyFill="1" applyBorder="1" applyProtection="1"/>
    <xf numFmtId="170" fontId="82" fillId="27" borderId="14" xfId="117" applyNumberFormat="1" applyFont="1" applyFill="1" applyBorder="1" applyProtection="1"/>
    <xf numFmtId="171" fontId="7" fillId="0" borderId="0" xfId="0" applyNumberFormat="1" applyFont="1" applyFill="1" applyBorder="1" applyProtection="1"/>
    <xf numFmtId="170" fontId="7" fillId="0" borderId="14" xfId="117" quotePrefix="1" applyNumberFormat="1" applyFont="1" applyFill="1" applyBorder="1" applyAlignment="1" applyProtection="1">
      <alignment horizontal="right"/>
    </xf>
    <xf numFmtId="170" fontId="85" fillId="27" borderId="24" xfId="0" applyNumberFormat="1" applyFont="1" applyFill="1" applyBorder="1" applyProtection="1"/>
    <xf numFmtId="168" fontId="85" fillId="27" borderId="25" xfId="117" applyNumberFormat="1" applyFont="1" applyFill="1" applyBorder="1" applyProtection="1"/>
    <xf numFmtId="168" fontId="85" fillId="27" borderId="14" xfId="117" applyNumberFormat="1" applyFont="1" applyFill="1" applyBorder="1" applyProtection="1"/>
    <xf numFmtId="170" fontId="85" fillId="27" borderId="24" xfId="117" applyNumberFormat="1" applyFont="1" applyFill="1" applyBorder="1" applyProtection="1"/>
    <xf numFmtId="170" fontId="85" fillId="27" borderId="14" xfId="117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70" fontId="7" fillId="0" borderId="0" xfId="0" applyNumberFormat="1" applyFont="1" applyAlignment="1" applyProtection="1">
      <alignment horizontal="left"/>
    </xf>
    <xf numFmtId="170" fontId="7" fillId="0" borderId="26" xfId="0" applyNumberFormat="1" applyFont="1" applyFill="1" applyBorder="1" applyProtection="1"/>
    <xf numFmtId="170" fontId="54" fillId="0" borderId="25" xfId="117" applyNumberFormat="1" applyFont="1" applyFill="1" applyBorder="1" applyProtection="1"/>
    <xf numFmtId="170" fontId="54" fillId="0" borderId="14" xfId="117" applyNumberFormat="1" applyFont="1" applyFill="1" applyBorder="1" applyProtection="1"/>
    <xf numFmtId="170" fontId="54" fillId="0" borderId="26" xfId="117" applyNumberFormat="1" applyFont="1" applyFill="1" applyBorder="1" applyProtection="1"/>
    <xf numFmtId="170" fontId="54" fillId="0" borderId="16" xfId="117" applyNumberFormat="1" applyFont="1" applyFill="1" applyBorder="1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54" fillId="27" borderId="0" xfId="0" applyFont="1" applyFill="1" applyAlignment="1">
      <alignment horizontal="left"/>
    </xf>
    <xf numFmtId="0" fontId="0" fillId="0" borderId="0" xfId="0" applyAlignment="1" applyProtection="1">
      <alignment vertical="center" wrapText="1"/>
    </xf>
    <xf numFmtId="170" fontId="122" fillId="0" borderId="0" xfId="117" applyNumberFormat="1" applyFont="1" applyFill="1" applyAlignment="1" applyProtection="1">
      <alignment vertical="center"/>
    </xf>
    <xf numFmtId="0" fontId="54" fillId="27" borderId="0" xfId="0" applyFont="1" applyFill="1" applyAlignment="1" applyProtection="1">
      <alignment horizontal="left"/>
    </xf>
    <xf numFmtId="0" fontId="1" fillId="0" borderId="22" xfId="0" applyFont="1" applyFill="1" applyBorder="1" applyAlignment="1" applyProtection="1">
      <alignment horizontal="left"/>
    </xf>
    <xf numFmtId="37" fontId="1" fillId="0" borderId="0" xfId="117" applyNumberFormat="1" applyFont="1" applyFill="1" applyAlignment="1" applyProtection="1">
      <alignment vertical="center"/>
    </xf>
    <xf numFmtId="37" fontId="1" fillId="0" borderId="0" xfId="117" applyNumberFormat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7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7" fillId="0" borderId="0" xfId="0" quotePrefix="1" applyFont="1" applyAlignment="1" applyProtection="1">
      <alignment horizontal="left" vertical="center"/>
    </xf>
    <xf numFmtId="181" fontId="76" fillId="0" borderId="0" xfId="117" applyNumberFormat="1" applyFont="1" applyAlignment="1" applyProtection="1">
      <alignment vertical="center"/>
    </xf>
    <xf numFmtId="0" fontId="0" fillId="61" borderId="0" xfId="0" applyFill="1" applyProtection="1"/>
    <xf numFmtId="0" fontId="65" fillId="61" borderId="0" xfId="0" quotePrefix="1" applyFont="1" applyFill="1" applyBorder="1" applyAlignment="1" applyProtection="1">
      <alignment horizontal="center" wrapText="1"/>
    </xf>
    <xf numFmtId="0" fontId="39" fillId="62" borderId="25" xfId="0" applyNumberFormat="1" applyFont="1" applyFill="1" applyBorder="1" applyAlignment="1" applyProtection="1">
      <alignment horizontal="center"/>
    </xf>
    <xf numFmtId="0" fontId="39" fillId="0" borderId="25" xfId="0" applyNumberFormat="1" applyFont="1" applyFill="1" applyBorder="1" applyAlignment="1" applyProtection="1">
      <alignment horizontal="center"/>
    </xf>
    <xf numFmtId="0" fontId="1" fillId="0" borderId="25" xfId="0" applyNumberFormat="1" applyFont="1" applyFill="1" applyBorder="1" applyAlignment="1" applyProtection="1">
      <alignment horizontal="center"/>
    </xf>
    <xf numFmtId="170" fontId="7" fillId="63" borderId="0" xfId="0" applyNumberFormat="1" applyFont="1" applyFill="1" applyBorder="1"/>
    <xf numFmtId="170" fontId="7" fillId="63" borderId="25" xfId="117" applyNumberFormat="1" applyFont="1" applyFill="1" applyBorder="1"/>
    <xf numFmtId="170" fontId="7" fillId="63" borderId="25" xfId="0" applyNumberFormat="1" applyFont="1" applyFill="1" applyBorder="1"/>
    <xf numFmtId="170" fontId="7" fillId="63" borderId="24" xfId="0" applyNumberFormat="1" applyFont="1" applyFill="1" applyBorder="1"/>
    <xf numFmtId="0" fontId="0" fillId="0" borderId="0" xfId="0" applyAlignment="1" applyProtection="1">
      <alignment vertical="center" wrapText="1"/>
    </xf>
    <xf numFmtId="170" fontId="82" fillId="27" borderId="0" xfId="0" applyNumberFormat="1" applyFont="1" applyFill="1"/>
    <xf numFmtId="170" fontId="82" fillId="27" borderId="25" xfId="0" applyNumberFormat="1" applyFont="1" applyFill="1" applyBorder="1"/>
    <xf numFmtId="170" fontId="82" fillId="27" borderId="24" xfId="0" applyNumberFormat="1" applyFont="1" applyFill="1" applyBorder="1"/>
    <xf numFmtId="170" fontId="54" fillId="27" borderId="0" xfId="0" applyNumberFormat="1" applyFont="1" applyFill="1"/>
    <xf numFmtId="170" fontId="54" fillId="27" borderId="25" xfId="0" applyNumberFormat="1" applyFont="1" applyFill="1" applyBorder="1"/>
    <xf numFmtId="170" fontId="1" fillId="0" borderId="0" xfId="0" applyNumberFormat="1" applyFont="1"/>
    <xf numFmtId="170" fontId="1" fillId="0" borderId="25" xfId="117" applyNumberFormat="1" applyFont="1" applyBorder="1" applyProtection="1"/>
    <xf numFmtId="170" fontId="1" fillId="0" borderId="25" xfId="0" applyNumberFormat="1" applyFont="1" applyBorder="1"/>
    <xf numFmtId="170" fontId="1" fillId="0" borderId="14" xfId="117" applyNumberFormat="1" applyFont="1" applyFill="1" applyBorder="1" applyProtection="1"/>
    <xf numFmtId="10" fontId="7" fillId="0" borderId="13" xfId="0" applyNumberFormat="1" applyFont="1" applyFill="1" applyBorder="1" applyProtection="1"/>
    <xf numFmtId="0" fontId="39" fillId="0" borderId="11" xfId="0" applyFont="1" applyBorder="1" applyAlignment="1" applyProtection="1">
      <alignment horizontal="center"/>
    </xf>
    <xf numFmtId="0" fontId="65" fillId="0" borderId="0" xfId="0" applyFont="1" applyFill="1" applyBorder="1" applyAlignment="1" applyProtection="1">
      <alignment horizontal="center" wrapText="1"/>
    </xf>
    <xf numFmtId="169" fontId="7" fillId="0" borderId="17" xfId="549" applyFont="1" applyBorder="1" applyAlignment="1" applyProtection="1">
      <alignment wrapText="1"/>
    </xf>
    <xf numFmtId="0" fontId="7" fillId="0" borderId="18" xfId="0" applyFont="1" applyBorder="1" applyAlignment="1" applyProtection="1">
      <alignment wrapText="1"/>
    </xf>
    <xf numFmtId="0" fontId="7" fillId="0" borderId="19" xfId="0" applyFont="1" applyBorder="1" applyAlignment="1" applyProtection="1">
      <alignment wrapText="1"/>
    </xf>
    <xf numFmtId="0" fontId="7" fillId="0" borderId="13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7" fillId="0" borderId="14" xfId="0" applyFont="1" applyBorder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9" fontId="46" fillId="0" borderId="0" xfId="0" applyNumberFormat="1" applyFont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46" fillId="0" borderId="0" xfId="490" applyFont="1" applyBorder="1" applyAlignment="1" applyProtection="1">
      <alignment horizontal="center"/>
    </xf>
    <xf numFmtId="0" fontId="6" fillId="0" borderId="0" xfId="490" quotePrefix="1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6" fillId="0" borderId="0" xfId="0" applyFont="1" applyFill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46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</cellXfs>
  <cellStyles count="73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2" xfId="4" builtinId="34" customBuiltin="1"/>
    <cellStyle name="20% - Accent2 2" xfId="5" xr:uid="{00000000-0005-0000-0000-000004000000}"/>
    <cellStyle name="20% - Accent2 2 2" xfId="6" xr:uid="{00000000-0005-0000-0000-000005000000}"/>
    <cellStyle name="20% - Accent3" xfId="7" builtinId="38" customBuiltin="1"/>
    <cellStyle name="20% - Accent3 2" xfId="8" xr:uid="{00000000-0005-0000-0000-000007000000}"/>
    <cellStyle name="20% - Accent3 2 2" xfId="9" xr:uid="{00000000-0005-0000-0000-000008000000}"/>
    <cellStyle name="20% - Accent4" xfId="10" builtinId="42" customBuiltin="1"/>
    <cellStyle name="20% - Accent4 2" xfId="11" xr:uid="{00000000-0005-0000-0000-00000A000000}"/>
    <cellStyle name="20% - Accent4 2 2" xfId="12" xr:uid="{00000000-0005-0000-0000-00000B000000}"/>
    <cellStyle name="20% - Accent5" xfId="13" builtinId="46" customBuiltin="1"/>
    <cellStyle name="20% - Accent5 2" xfId="14" xr:uid="{00000000-0005-0000-0000-00000D000000}"/>
    <cellStyle name="20% - Accent5 2 2" xfId="15" xr:uid="{00000000-0005-0000-0000-00000E000000}"/>
    <cellStyle name="20% - Accent6" xfId="16" builtinId="50" customBuiltin="1"/>
    <cellStyle name="20% - Accent6 2" xfId="17" xr:uid="{00000000-0005-0000-0000-000010000000}"/>
    <cellStyle name="20% - Accent6 2 2" xfId="18" xr:uid="{00000000-0005-0000-0000-000011000000}"/>
    <cellStyle name="40% - Accent1" xfId="19" builtinId="31" customBuiltin="1"/>
    <cellStyle name="40% - Accent1 2" xfId="20" xr:uid="{00000000-0005-0000-0000-000013000000}"/>
    <cellStyle name="40% - Accent1 2 2" xfId="21" xr:uid="{00000000-0005-0000-0000-000014000000}"/>
    <cellStyle name="40% - Accent2" xfId="22" builtinId="35" customBuiltin="1"/>
    <cellStyle name="40% - Accent2 2" xfId="23" xr:uid="{00000000-0005-0000-0000-000016000000}"/>
    <cellStyle name="40% - Accent2 2 2" xfId="24" xr:uid="{00000000-0005-0000-0000-000017000000}"/>
    <cellStyle name="40% - Accent3" xfId="25" builtinId="39" customBuiltin="1"/>
    <cellStyle name="40% - Accent3 2" xfId="26" xr:uid="{00000000-0005-0000-0000-000019000000}"/>
    <cellStyle name="40% - Accent3 2 2" xfId="27" xr:uid="{00000000-0005-0000-0000-00001A000000}"/>
    <cellStyle name="40% - Accent4" xfId="28" builtinId="43" customBuiltin="1"/>
    <cellStyle name="40% - Accent4 2" xfId="29" xr:uid="{00000000-0005-0000-0000-00001C000000}"/>
    <cellStyle name="40% - Accent4 2 2" xfId="30" xr:uid="{00000000-0005-0000-0000-00001D000000}"/>
    <cellStyle name="40% - Accent5" xfId="31" builtinId="47" customBuiltin="1"/>
    <cellStyle name="40% - Accent5 2" xfId="32" xr:uid="{00000000-0005-0000-0000-00001F000000}"/>
    <cellStyle name="40% - Accent5 2 2" xfId="33" xr:uid="{00000000-0005-0000-0000-000020000000}"/>
    <cellStyle name="40% - Accent6" xfId="34" builtinId="51" customBuiltin="1"/>
    <cellStyle name="40% - Accent6 2" xfId="35" xr:uid="{00000000-0005-0000-0000-000022000000}"/>
    <cellStyle name="40% - Accent6 2 2" xfId="36" xr:uid="{00000000-0005-0000-0000-000023000000}"/>
    <cellStyle name="60% - Accent1" xfId="37" builtinId="32" customBuiltin="1"/>
    <cellStyle name="60% - Accent1 2" xfId="38" xr:uid="{00000000-0005-0000-0000-000025000000}"/>
    <cellStyle name="60% - Accent1 2 2" xfId="39" xr:uid="{00000000-0005-0000-0000-000026000000}"/>
    <cellStyle name="60% - Accent2" xfId="40" builtinId="36" customBuiltin="1"/>
    <cellStyle name="60% - Accent2 2" xfId="41" xr:uid="{00000000-0005-0000-0000-000028000000}"/>
    <cellStyle name="60% - Accent2 2 2" xfId="42" xr:uid="{00000000-0005-0000-0000-000029000000}"/>
    <cellStyle name="60% - Accent3" xfId="43" builtinId="40" customBuiltin="1"/>
    <cellStyle name="60% - Accent3 2" xfId="44" xr:uid="{00000000-0005-0000-0000-00002B000000}"/>
    <cellStyle name="60% - Accent3 2 2" xfId="45" xr:uid="{00000000-0005-0000-0000-00002C000000}"/>
    <cellStyle name="60% - Accent4" xfId="46" builtinId="44" customBuiltin="1"/>
    <cellStyle name="60% - Accent4 2" xfId="47" xr:uid="{00000000-0005-0000-0000-00002E000000}"/>
    <cellStyle name="60% - Accent4 2 2" xfId="48" xr:uid="{00000000-0005-0000-0000-00002F000000}"/>
    <cellStyle name="60% - Accent5" xfId="49" builtinId="48" customBuiltin="1"/>
    <cellStyle name="60% - Accent5 2" xfId="50" xr:uid="{00000000-0005-0000-0000-000031000000}"/>
    <cellStyle name="60% - Accent5 2 2" xfId="51" xr:uid="{00000000-0005-0000-0000-000032000000}"/>
    <cellStyle name="60% - Accent6" xfId="52" builtinId="52" customBuiltin="1"/>
    <cellStyle name="60% - Accent6 2" xfId="53" xr:uid="{00000000-0005-0000-0000-000034000000}"/>
    <cellStyle name="60% - Accent6 2 2" xfId="54" xr:uid="{00000000-0005-0000-0000-000035000000}"/>
    <cellStyle name="Accent1" xfId="55" builtinId="29" customBuiltin="1"/>
    <cellStyle name="Accent1 2" xfId="56" xr:uid="{00000000-0005-0000-0000-000037000000}"/>
    <cellStyle name="Accent1 2 2" xfId="57" xr:uid="{00000000-0005-0000-0000-000038000000}"/>
    <cellStyle name="Accent2" xfId="58" builtinId="33" customBuiltin="1"/>
    <cellStyle name="Accent2 2" xfId="59" xr:uid="{00000000-0005-0000-0000-00003A000000}"/>
    <cellStyle name="Accent2 2 2" xfId="60" xr:uid="{00000000-0005-0000-0000-00003B000000}"/>
    <cellStyle name="Accent3" xfId="61" builtinId="37" customBuiltin="1"/>
    <cellStyle name="Accent3 2" xfId="62" xr:uid="{00000000-0005-0000-0000-00003D000000}"/>
    <cellStyle name="Accent3 2 2" xfId="63" xr:uid="{00000000-0005-0000-0000-00003E000000}"/>
    <cellStyle name="Accent4" xfId="64" builtinId="41" customBuiltin="1"/>
    <cellStyle name="Accent4 2" xfId="65" xr:uid="{00000000-0005-0000-0000-000040000000}"/>
    <cellStyle name="Accent4 2 2" xfId="66" xr:uid="{00000000-0005-0000-0000-000041000000}"/>
    <cellStyle name="Accent5" xfId="67" builtinId="45" customBuiltin="1"/>
    <cellStyle name="Accent5 2" xfId="68" xr:uid="{00000000-0005-0000-0000-000043000000}"/>
    <cellStyle name="Accent5 2 2" xfId="69" xr:uid="{00000000-0005-0000-0000-000044000000}"/>
    <cellStyle name="Accent6" xfId="70" builtinId="49" customBuiltin="1"/>
    <cellStyle name="Accent6 2" xfId="71" xr:uid="{00000000-0005-0000-0000-000046000000}"/>
    <cellStyle name="Accent6 2 2" xfId="72" xr:uid="{00000000-0005-0000-0000-000047000000}"/>
    <cellStyle name="Bad" xfId="73" builtinId="27" customBuiltin="1"/>
    <cellStyle name="Bad 2" xfId="74" xr:uid="{00000000-0005-0000-0000-000049000000}"/>
    <cellStyle name="Bad 2 2" xfId="75" xr:uid="{00000000-0005-0000-0000-00004A000000}"/>
    <cellStyle name="C00A" xfId="76" xr:uid="{00000000-0005-0000-0000-00004B000000}"/>
    <cellStyle name="C00B" xfId="77" xr:uid="{00000000-0005-0000-0000-00004C000000}"/>
    <cellStyle name="C00L" xfId="78" xr:uid="{00000000-0005-0000-0000-00004D000000}"/>
    <cellStyle name="C01A" xfId="79" xr:uid="{00000000-0005-0000-0000-00004E000000}"/>
    <cellStyle name="C01B" xfId="80" xr:uid="{00000000-0005-0000-0000-00004F000000}"/>
    <cellStyle name="C01B 2" xfId="81" xr:uid="{00000000-0005-0000-0000-000050000000}"/>
    <cellStyle name="C01H" xfId="82" xr:uid="{00000000-0005-0000-0000-000051000000}"/>
    <cellStyle name="C01L" xfId="83" xr:uid="{00000000-0005-0000-0000-000052000000}"/>
    <cellStyle name="C02A" xfId="84" xr:uid="{00000000-0005-0000-0000-000053000000}"/>
    <cellStyle name="C02B" xfId="85" xr:uid="{00000000-0005-0000-0000-000054000000}"/>
    <cellStyle name="C02B 2" xfId="86" xr:uid="{00000000-0005-0000-0000-000055000000}"/>
    <cellStyle name="C02H" xfId="87" xr:uid="{00000000-0005-0000-0000-000056000000}"/>
    <cellStyle name="C02L" xfId="88" xr:uid="{00000000-0005-0000-0000-000057000000}"/>
    <cellStyle name="C03A" xfId="89" xr:uid="{00000000-0005-0000-0000-000058000000}"/>
    <cellStyle name="C03B" xfId="90" xr:uid="{00000000-0005-0000-0000-000059000000}"/>
    <cellStyle name="C03H" xfId="91" xr:uid="{00000000-0005-0000-0000-00005A000000}"/>
    <cellStyle name="C03L" xfId="92" xr:uid="{00000000-0005-0000-0000-00005B000000}"/>
    <cellStyle name="C04A" xfId="93" xr:uid="{00000000-0005-0000-0000-00005C000000}"/>
    <cellStyle name="C04A 2" xfId="94" xr:uid="{00000000-0005-0000-0000-00005D000000}"/>
    <cellStyle name="C04B" xfId="95" xr:uid="{00000000-0005-0000-0000-00005E000000}"/>
    <cellStyle name="C04H" xfId="96" xr:uid="{00000000-0005-0000-0000-00005F000000}"/>
    <cellStyle name="C04L" xfId="97" xr:uid="{00000000-0005-0000-0000-000060000000}"/>
    <cellStyle name="C05A" xfId="98" xr:uid="{00000000-0005-0000-0000-000061000000}"/>
    <cellStyle name="C05B" xfId="99" xr:uid="{00000000-0005-0000-0000-000062000000}"/>
    <cellStyle name="C05H" xfId="100" xr:uid="{00000000-0005-0000-0000-000063000000}"/>
    <cellStyle name="C05L" xfId="101" xr:uid="{00000000-0005-0000-0000-000064000000}"/>
    <cellStyle name="C05L 2" xfId="102" xr:uid="{00000000-0005-0000-0000-000065000000}"/>
    <cellStyle name="C06A" xfId="103" xr:uid="{00000000-0005-0000-0000-000066000000}"/>
    <cellStyle name="C06B" xfId="104" xr:uid="{00000000-0005-0000-0000-000067000000}"/>
    <cellStyle name="C06H" xfId="105" xr:uid="{00000000-0005-0000-0000-000068000000}"/>
    <cellStyle name="C06L" xfId="106" xr:uid="{00000000-0005-0000-0000-000069000000}"/>
    <cellStyle name="C07A" xfId="107" xr:uid="{00000000-0005-0000-0000-00006A000000}"/>
    <cellStyle name="C07B" xfId="108" xr:uid="{00000000-0005-0000-0000-00006B000000}"/>
    <cellStyle name="C07H" xfId="109" xr:uid="{00000000-0005-0000-0000-00006C000000}"/>
    <cellStyle name="C07L" xfId="110" xr:uid="{00000000-0005-0000-0000-00006D000000}"/>
    <cellStyle name="Calculation" xfId="111" builtinId="22" customBuiltin="1"/>
    <cellStyle name="Calculation 2" xfId="112" xr:uid="{00000000-0005-0000-0000-00006F000000}"/>
    <cellStyle name="Calculation 2 2" xfId="113" xr:uid="{00000000-0005-0000-0000-000070000000}"/>
    <cellStyle name="Check Cell" xfId="114" builtinId="23" customBuiltin="1"/>
    <cellStyle name="Check Cell 2" xfId="115" xr:uid="{00000000-0005-0000-0000-000072000000}"/>
    <cellStyle name="Check Cell 2 2" xfId="116" xr:uid="{00000000-0005-0000-0000-000073000000}"/>
    <cellStyle name="Comma" xfId="117" builtinId="3"/>
    <cellStyle name="Comma [0] 2" xfId="118" xr:uid="{00000000-0005-0000-0000-000075000000}"/>
    <cellStyle name="Comma [0] 2 2" xfId="119" xr:uid="{00000000-0005-0000-0000-000076000000}"/>
    <cellStyle name="Comma 10" xfId="120" xr:uid="{00000000-0005-0000-0000-000077000000}"/>
    <cellStyle name="Comma 11" xfId="121" xr:uid="{00000000-0005-0000-0000-000078000000}"/>
    <cellStyle name="Comma 12" xfId="122" xr:uid="{00000000-0005-0000-0000-000079000000}"/>
    <cellStyle name="Comma 13" xfId="123" xr:uid="{00000000-0005-0000-0000-00007A000000}"/>
    <cellStyle name="Comma 14" xfId="124" xr:uid="{00000000-0005-0000-0000-00007B000000}"/>
    <cellStyle name="Comma 15" xfId="125" xr:uid="{00000000-0005-0000-0000-00007C000000}"/>
    <cellStyle name="Comma 16" xfId="126" xr:uid="{00000000-0005-0000-0000-00007D000000}"/>
    <cellStyle name="Comma 17" xfId="127" xr:uid="{00000000-0005-0000-0000-00007E000000}"/>
    <cellStyle name="Comma 18" xfId="128" xr:uid="{00000000-0005-0000-0000-00007F000000}"/>
    <cellStyle name="Comma 19" xfId="129" xr:uid="{00000000-0005-0000-0000-000080000000}"/>
    <cellStyle name="Comma 2" xfId="130" xr:uid="{00000000-0005-0000-0000-000081000000}"/>
    <cellStyle name="Comma 2 2" xfId="131" xr:uid="{00000000-0005-0000-0000-000082000000}"/>
    <cellStyle name="Comma 2 2 2" xfId="132" xr:uid="{00000000-0005-0000-0000-000083000000}"/>
    <cellStyle name="Comma 2 3" xfId="133" xr:uid="{00000000-0005-0000-0000-000084000000}"/>
    <cellStyle name="Comma 2 3 2" xfId="134" xr:uid="{00000000-0005-0000-0000-000085000000}"/>
    <cellStyle name="Comma 2 3 3" xfId="135" xr:uid="{00000000-0005-0000-0000-000086000000}"/>
    <cellStyle name="Comma 2 3 4" xfId="136" xr:uid="{00000000-0005-0000-0000-000087000000}"/>
    <cellStyle name="Comma 2 4" xfId="137" xr:uid="{00000000-0005-0000-0000-000088000000}"/>
    <cellStyle name="Comma 20" xfId="138" xr:uid="{00000000-0005-0000-0000-000089000000}"/>
    <cellStyle name="Comma 21" xfId="139" xr:uid="{00000000-0005-0000-0000-00008A000000}"/>
    <cellStyle name="Comma 22" xfId="140" xr:uid="{00000000-0005-0000-0000-00008B000000}"/>
    <cellStyle name="Comma 23" xfId="141" xr:uid="{00000000-0005-0000-0000-00008C000000}"/>
    <cellStyle name="Comma 24" xfId="142" xr:uid="{00000000-0005-0000-0000-00008D000000}"/>
    <cellStyle name="Comma 25" xfId="143" xr:uid="{00000000-0005-0000-0000-00008E000000}"/>
    <cellStyle name="Comma 25 2" xfId="144" xr:uid="{00000000-0005-0000-0000-00008F000000}"/>
    <cellStyle name="Comma 26" xfId="145" xr:uid="{00000000-0005-0000-0000-000090000000}"/>
    <cellStyle name="Comma 26 2" xfId="146" xr:uid="{00000000-0005-0000-0000-000091000000}"/>
    <cellStyle name="Comma 27" xfId="147" xr:uid="{00000000-0005-0000-0000-000092000000}"/>
    <cellStyle name="Comma 27 2" xfId="148" xr:uid="{00000000-0005-0000-0000-000093000000}"/>
    <cellStyle name="Comma 28" xfId="149" xr:uid="{00000000-0005-0000-0000-000094000000}"/>
    <cellStyle name="Comma 28 2" xfId="150" xr:uid="{00000000-0005-0000-0000-000095000000}"/>
    <cellStyle name="Comma 29" xfId="151" xr:uid="{00000000-0005-0000-0000-000096000000}"/>
    <cellStyle name="Comma 29 2" xfId="152" xr:uid="{00000000-0005-0000-0000-000097000000}"/>
    <cellStyle name="Comma 3" xfId="153" xr:uid="{00000000-0005-0000-0000-000098000000}"/>
    <cellStyle name="Comma 3 2" xfId="154" xr:uid="{00000000-0005-0000-0000-000099000000}"/>
    <cellStyle name="Comma 3 2 2" xfId="155" xr:uid="{00000000-0005-0000-0000-00009A000000}"/>
    <cellStyle name="Comma 3 3" xfId="156" xr:uid="{00000000-0005-0000-0000-00009B000000}"/>
    <cellStyle name="Comma 3 3 2" xfId="157" xr:uid="{00000000-0005-0000-0000-00009C000000}"/>
    <cellStyle name="Comma 3 3 2 2" xfId="158" xr:uid="{00000000-0005-0000-0000-00009D000000}"/>
    <cellStyle name="Comma 3 3 2 3" xfId="159" xr:uid="{00000000-0005-0000-0000-00009E000000}"/>
    <cellStyle name="Comma 3 3 3" xfId="160" xr:uid="{00000000-0005-0000-0000-00009F000000}"/>
    <cellStyle name="Comma 3 3 3 2" xfId="161" xr:uid="{00000000-0005-0000-0000-0000A0000000}"/>
    <cellStyle name="Comma 3 3 3 2 2" xfId="162" xr:uid="{00000000-0005-0000-0000-0000A1000000}"/>
    <cellStyle name="Comma 3 3 3 2 3" xfId="163" xr:uid="{00000000-0005-0000-0000-0000A2000000}"/>
    <cellStyle name="Comma 3 3 3 2 4" xfId="164" xr:uid="{00000000-0005-0000-0000-0000A3000000}"/>
    <cellStyle name="Comma 3 3 3 3" xfId="165" xr:uid="{00000000-0005-0000-0000-0000A4000000}"/>
    <cellStyle name="Comma 3 3 4" xfId="166" xr:uid="{00000000-0005-0000-0000-0000A5000000}"/>
    <cellStyle name="Comma 3 3 5" xfId="167" xr:uid="{00000000-0005-0000-0000-0000A6000000}"/>
    <cellStyle name="Comma 3 3 5 2" xfId="168" xr:uid="{00000000-0005-0000-0000-0000A7000000}"/>
    <cellStyle name="Comma 3 3 5 3" xfId="169" xr:uid="{00000000-0005-0000-0000-0000A8000000}"/>
    <cellStyle name="Comma 3 3 5 4" xfId="170" xr:uid="{00000000-0005-0000-0000-0000A9000000}"/>
    <cellStyle name="Comma 3 4" xfId="171" xr:uid="{00000000-0005-0000-0000-0000AA000000}"/>
    <cellStyle name="Comma 3 4 2" xfId="172" xr:uid="{00000000-0005-0000-0000-0000AB000000}"/>
    <cellStyle name="Comma 3 4 3" xfId="173" xr:uid="{00000000-0005-0000-0000-0000AC000000}"/>
    <cellStyle name="Comma 3 4 4" xfId="174" xr:uid="{00000000-0005-0000-0000-0000AD000000}"/>
    <cellStyle name="Comma 3 4 4 2" xfId="175" xr:uid="{00000000-0005-0000-0000-0000AE000000}"/>
    <cellStyle name="Comma 3 4 4 3" xfId="176" xr:uid="{00000000-0005-0000-0000-0000AF000000}"/>
    <cellStyle name="Comma 3 4 4 4" xfId="177" xr:uid="{00000000-0005-0000-0000-0000B0000000}"/>
    <cellStyle name="Comma 3 4 5" xfId="178" xr:uid="{00000000-0005-0000-0000-0000B1000000}"/>
    <cellStyle name="Comma 3 5" xfId="179" xr:uid="{00000000-0005-0000-0000-0000B2000000}"/>
    <cellStyle name="Comma 3 5 2" xfId="180" xr:uid="{00000000-0005-0000-0000-0000B3000000}"/>
    <cellStyle name="Comma 3 6" xfId="181" xr:uid="{00000000-0005-0000-0000-0000B4000000}"/>
    <cellStyle name="Comma 3 7" xfId="182" xr:uid="{00000000-0005-0000-0000-0000B5000000}"/>
    <cellStyle name="Comma 3 8" xfId="183" xr:uid="{00000000-0005-0000-0000-0000B6000000}"/>
    <cellStyle name="Comma 30" xfId="184" xr:uid="{00000000-0005-0000-0000-0000B7000000}"/>
    <cellStyle name="Comma 31" xfId="185" xr:uid="{00000000-0005-0000-0000-0000B8000000}"/>
    <cellStyle name="Comma 32" xfId="186" xr:uid="{00000000-0005-0000-0000-0000B9000000}"/>
    <cellStyle name="Comma 33" xfId="187" xr:uid="{00000000-0005-0000-0000-0000BA000000}"/>
    <cellStyle name="Comma 34" xfId="188" xr:uid="{00000000-0005-0000-0000-0000BB000000}"/>
    <cellStyle name="Comma 35" xfId="189" xr:uid="{00000000-0005-0000-0000-0000BC000000}"/>
    <cellStyle name="Comma 36" xfId="190" xr:uid="{00000000-0005-0000-0000-0000BD000000}"/>
    <cellStyle name="Comma 37" xfId="191" xr:uid="{00000000-0005-0000-0000-0000BE000000}"/>
    <cellStyle name="Comma 38" xfId="192" xr:uid="{00000000-0005-0000-0000-0000BF000000}"/>
    <cellStyle name="Comma 39" xfId="193" xr:uid="{00000000-0005-0000-0000-0000C0000000}"/>
    <cellStyle name="Comma 4" xfId="194" xr:uid="{00000000-0005-0000-0000-0000C1000000}"/>
    <cellStyle name="Comma 4 2" xfId="195" xr:uid="{00000000-0005-0000-0000-0000C2000000}"/>
    <cellStyle name="Comma 4 2 2" xfId="196" xr:uid="{00000000-0005-0000-0000-0000C3000000}"/>
    <cellStyle name="Comma 4 2 2 2" xfId="197" xr:uid="{00000000-0005-0000-0000-0000C4000000}"/>
    <cellStyle name="Comma 4 2 2 3" xfId="198" xr:uid="{00000000-0005-0000-0000-0000C5000000}"/>
    <cellStyle name="Comma 4 2 2 4" xfId="199" xr:uid="{00000000-0005-0000-0000-0000C6000000}"/>
    <cellStyle name="Comma 4 2 3" xfId="200" xr:uid="{00000000-0005-0000-0000-0000C7000000}"/>
    <cellStyle name="Comma 4 2 3 2" xfId="201" xr:uid="{00000000-0005-0000-0000-0000C8000000}"/>
    <cellStyle name="Comma 4 2 3 2 2" xfId="202" xr:uid="{00000000-0005-0000-0000-0000C9000000}"/>
    <cellStyle name="Comma 4 2 3 3" xfId="203" xr:uid="{00000000-0005-0000-0000-0000CA000000}"/>
    <cellStyle name="Comma 4 2 3 3 2" xfId="204" xr:uid="{00000000-0005-0000-0000-0000CB000000}"/>
    <cellStyle name="Comma 4 2 3 4" xfId="205" xr:uid="{00000000-0005-0000-0000-0000CC000000}"/>
    <cellStyle name="Comma 4 2 4" xfId="206" xr:uid="{00000000-0005-0000-0000-0000CD000000}"/>
    <cellStyle name="Comma 4 2 4 2" xfId="207" xr:uid="{00000000-0005-0000-0000-0000CE000000}"/>
    <cellStyle name="Comma 4 2 4 3" xfId="208" xr:uid="{00000000-0005-0000-0000-0000CF000000}"/>
    <cellStyle name="Comma 4 2 4 4" xfId="209" xr:uid="{00000000-0005-0000-0000-0000D0000000}"/>
    <cellStyle name="Comma 4 2 5" xfId="210" xr:uid="{00000000-0005-0000-0000-0000D1000000}"/>
    <cellStyle name="Comma 4 3" xfId="211" xr:uid="{00000000-0005-0000-0000-0000D2000000}"/>
    <cellStyle name="Comma 4 3 2" xfId="212" xr:uid="{00000000-0005-0000-0000-0000D3000000}"/>
    <cellStyle name="Comma 4 3 2 2" xfId="213" xr:uid="{00000000-0005-0000-0000-0000D4000000}"/>
    <cellStyle name="Comma 4 3 2 2 2" xfId="214" xr:uid="{00000000-0005-0000-0000-0000D5000000}"/>
    <cellStyle name="Comma 4 3 2 3" xfId="215" xr:uid="{00000000-0005-0000-0000-0000D6000000}"/>
    <cellStyle name="Comma 4 3 2 3 2" xfId="216" xr:uid="{00000000-0005-0000-0000-0000D7000000}"/>
    <cellStyle name="Comma 4 3 2 4" xfId="217" xr:uid="{00000000-0005-0000-0000-0000D8000000}"/>
    <cellStyle name="Comma 4 3 3" xfId="218" xr:uid="{00000000-0005-0000-0000-0000D9000000}"/>
    <cellStyle name="Comma 4 3 4" xfId="219" xr:uid="{00000000-0005-0000-0000-0000DA000000}"/>
    <cellStyle name="Comma 4 3 4 2" xfId="220" xr:uid="{00000000-0005-0000-0000-0000DB000000}"/>
    <cellStyle name="Comma 4 3 4 3" xfId="221" xr:uid="{00000000-0005-0000-0000-0000DC000000}"/>
    <cellStyle name="Comma 4 3 5" xfId="222" xr:uid="{00000000-0005-0000-0000-0000DD000000}"/>
    <cellStyle name="Comma 4 3 5 2" xfId="223" xr:uid="{00000000-0005-0000-0000-0000DE000000}"/>
    <cellStyle name="Comma 4 3 6" xfId="224" xr:uid="{00000000-0005-0000-0000-0000DF000000}"/>
    <cellStyle name="Comma 4 3 6 2" xfId="225" xr:uid="{00000000-0005-0000-0000-0000E0000000}"/>
    <cellStyle name="Comma 4 4" xfId="226" xr:uid="{00000000-0005-0000-0000-0000E1000000}"/>
    <cellStyle name="Comma 4 4 2" xfId="227" xr:uid="{00000000-0005-0000-0000-0000E2000000}"/>
    <cellStyle name="Comma 4 4 3" xfId="228" xr:uid="{00000000-0005-0000-0000-0000E3000000}"/>
    <cellStyle name="Comma 4 4 4" xfId="229" xr:uid="{00000000-0005-0000-0000-0000E4000000}"/>
    <cellStyle name="Comma 4 5" xfId="230" xr:uid="{00000000-0005-0000-0000-0000E5000000}"/>
    <cellStyle name="Comma 4 5 2" xfId="231" xr:uid="{00000000-0005-0000-0000-0000E6000000}"/>
    <cellStyle name="Comma 4 6" xfId="232" xr:uid="{00000000-0005-0000-0000-0000E7000000}"/>
    <cellStyle name="Comma 40" xfId="233" xr:uid="{00000000-0005-0000-0000-0000E8000000}"/>
    <cellStyle name="Comma 41" xfId="234" xr:uid="{00000000-0005-0000-0000-0000E9000000}"/>
    <cellStyle name="Comma 42" xfId="235" xr:uid="{00000000-0005-0000-0000-0000EA000000}"/>
    <cellStyle name="Comma 43" xfId="236" xr:uid="{00000000-0005-0000-0000-0000EB000000}"/>
    <cellStyle name="Comma 44" xfId="237" xr:uid="{00000000-0005-0000-0000-0000EC000000}"/>
    <cellStyle name="Comma 45" xfId="238" xr:uid="{00000000-0005-0000-0000-0000ED000000}"/>
    <cellStyle name="Comma 46" xfId="239" xr:uid="{00000000-0005-0000-0000-0000EE000000}"/>
    <cellStyle name="Comma 47" xfId="240" xr:uid="{00000000-0005-0000-0000-0000EF000000}"/>
    <cellStyle name="Comma 48" xfId="241" xr:uid="{00000000-0005-0000-0000-0000F0000000}"/>
    <cellStyle name="Comma 49" xfId="242" xr:uid="{00000000-0005-0000-0000-0000F1000000}"/>
    <cellStyle name="Comma 5" xfId="243" xr:uid="{00000000-0005-0000-0000-0000F2000000}"/>
    <cellStyle name="Comma 5 2" xfId="244" xr:uid="{00000000-0005-0000-0000-0000F3000000}"/>
    <cellStyle name="Comma 5 2 2" xfId="245" xr:uid="{00000000-0005-0000-0000-0000F4000000}"/>
    <cellStyle name="Comma 5 2 3" xfId="246" xr:uid="{00000000-0005-0000-0000-0000F5000000}"/>
    <cellStyle name="Comma 5 3" xfId="247" xr:uid="{00000000-0005-0000-0000-0000F6000000}"/>
    <cellStyle name="Comma 50" xfId="248" xr:uid="{00000000-0005-0000-0000-0000F7000000}"/>
    <cellStyle name="Comma 51" xfId="249" xr:uid="{00000000-0005-0000-0000-0000F8000000}"/>
    <cellStyle name="Comma 52" xfId="250" xr:uid="{00000000-0005-0000-0000-0000F9000000}"/>
    <cellStyle name="Comma 52 2" xfId="251" xr:uid="{00000000-0005-0000-0000-0000FA000000}"/>
    <cellStyle name="Comma 53" xfId="252" xr:uid="{00000000-0005-0000-0000-0000FB000000}"/>
    <cellStyle name="Comma 54" xfId="253" xr:uid="{00000000-0005-0000-0000-0000FC000000}"/>
    <cellStyle name="Comma 55" xfId="254" xr:uid="{00000000-0005-0000-0000-0000FD000000}"/>
    <cellStyle name="Comma 56" xfId="255" xr:uid="{00000000-0005-0000-0000-0000FE000000}"/>
    <cellStyle name="Comma 57" xfId="256" xr:uid="{00000000-0005-0000-0000-0000FF000000}"/>
    <cellStyle name="Comma 57 2" xfId="257" xr:uid="{00000000-0005-0000-0000-000000010000}"/>
    <cellStyle name="Comma 57 3" xfId="258" xr:uid="{00000000-0005-0000-0000-000001010000}"/>
    <cellStyle name="Comma 57 4" xfId="259" xr:uid="{00000000-0005-0000-0000-000002010000}"/>
    <cellStyle name="Comma 58" xfId="260" xr:uid="{00000000-0005-0000-0000-000003010000}"/>
    <cellStyle name="Comma 58 2" xfId="261" xr:uid="{00000000-0005-0000-0000-000004010000}"/>
    <cellStyle name="Comma 58 3" xfId="262" xr:uid="{00000000-0005-0000-0000-000005010000}"/>
    <cellStyle name="Comma 58 4" xfId="263" xr:uid="{00000000-0005-0000-0000-000006010000}"/>
    <cellStyle name="Comma 59" xfId="264" xr:uid="{00000000-0005-0000-0000-000007010000}"/>
    <cellStyle name="Comma 59 2" xfId="265" xr:uid="{00000000-0005-0000-0000-000008010000}"/>
    <cellStyle name="Comma 59 3" xfId="266" xr:uid="{00000000-0005-0000-0000-000009010000}"/>
    <cellStyle name="Comma 59 4" xfId="267" xr:uid="{00000000-0005-0000-0000-00000A010000}"/>
    <cellStyle name="Comma 6" xfId="268" xr:uid="{00000000-0005-0000-0000-00000B010000}"/>
    <cellStyle name="Comma 6 2" xfId="269" xr:uid="{00000000-0005-0000-0000-00000C010000}"/>
    <cellStyle name="Comma 6 3" xfId="270" xr:uid="{00000000-0005-0000-0000-00000D010000}"/>
    <cellStyle name="Comma 6 4" xfId="271" xr:uid="{00000000-0005-0000-0000-00000E010000}"/>
    <cellStyle name="Comma 6 4 2" xfId="272" xr:uid="{00000000-0005-0000-0000-00000F010000}"/>
    <cellStyle name="Comma 6 4 3" xfId="273" xr:uid="{00000000-0005-0000-0000-000010010000}"/>
    <cellStyle name="Comma 6 4 4" xfId="274" xr:uid="{00000000-0005-0000-0000-000011010000}"/>
    <cellStyle name="Comma 6 5" xfId="275" xr:uid="{00000000-0005-0000-0000-000012010000}"/>
    <cellStyle name="Comma 60" xfId="276" xr:uid="{00000000-0005-0000-0000-000013010000}"/>
    <cellStyle name="Comma 60 2" xfId="277" xr:uid="{00000000-0005-0000-0000-000014010000}"/>
    <cellStyle name="Comma 60 3" xfId="278" xr:uid="{00000000-0005-0000-0000-000015010000}"/>
    <cellStyle name="Comma 60 4" xfId="279" xr:uid="{00000000-0005-0000-0000-000016010000}"/>
    <cellStyle name="Comma 61" xfId="280" xr:uid="{00000000-0005-0000-0000-000017010000}"/>
    <cellStyle name="Comma 61 2" xfId="281" xr:uid="{00000000-0005-0000-0000-000018010000}"/>
    <cellStyle name="Comma 61 3" xfId="282" xr:uid="{00000000-0005-0000-0000-000019010000}"/>
    <cellStyle name="Comma 61 4" xfId="283" xr:uid="{00000000-0005-0000-0000-00001A010000}"/>
    <cellStyle name="Comma 62" xfId="284" xr:uid="{00000000-0005-0000-0000-00001B010000}"/>
    <cellStyle name="Comma 62 2" xfId="285" xr:uid="{00000000-0005-0000-0000-00001C010000}"/>
    <cellStyle name="Comma 62 3" xfId="286" xr:uid="{00000000-0005-0000-0000-00001D010000}"/>
    <cellStyle name="Comma 63" xfId="287" xr:uid="{00000000-0005-0000-0000-00001E010000}"/>
    <cellStyle name="Comma 63 2" xfId="288" xr:uid="{00000000-0005-0000-0000-00001F010000}"/>
    <cellStyle name="Comma 63 3" xfId="289" xr:uid="{00000000-0005-0000-0000-000020010000}"/>
    <cellStyle name="Comma 64" xfId="290" xr:uid="{00000000-0005-0000-0000-000021010000}"/>
    <cellStyle name="Comma 64 2" xfId="291" xr:uid="{00000000-0005-0000-0000-000022010000}"/>
    <cellStyle name="Comma 64 3" xfId="292" xr:uid="{00000000-0005-0000-0000-000023010000}"/>
    <cellStyle name="Comma 65" xfId="293" xr:uid="{00000000-0005-0000-0000-000024010000}"/>
    <cellStyle name="Comma 65 2" xfId="294" xr:uid="{00000000-0005-0000-0000-000025010000}"/>
    <cellStyle name="Comma 65 3" xfId="295" xr:uid="{00000000-0005-0000-0000-000026010000}"/>
    <cellStyle name="Comma 66" xfId="296" xr:uid="{00000000-0005-0000-0000-000027010000}"/>
    <cellStyle name="Comma 66 2" xfId="297" xr:uid="{00000000-0005-0000-0000-000028010000}"/>
    <cellStyle name="Comma 66 3" xfId="298" xr:uid="{00000000-0005-0000-0000-000029010000}"/>
    <cellStyle name="Comma 67" xfId="299" xr:uid="{00000000-0005-0000-0000-00002A010000}"/>
    <cellStyle name="Comma 67 2" xfId="300" xr:uid="{00000000-0005-0000-0000-00002B010000}"/>
    <cellStyle name="Comma 67 3" xfId="301" xr:uid="{00000000-0005-0000-0000-00002C010000}"/>
    <cellStyle name="Comma 68" xfId="302" xr:uid="{00000000-0005-0000-0000-00002D010000}"/>
    <cellStyle name="Comma 68 2" xfId="303" xr:uid="{00000000-0005-0000-0000-00002E010000}"/>
    <cellStyle name="Comma 68 3" xfId="304" xr:uid="{00000000-0005-0000-0000-00002F010000}"/>
    <cellStyle name="Comma 69" xfId="305" xr:uid="{00000000-0005-0000-0000-000030010000}"/>
    <cellStyle name="Comma 69 2" xfId="306" xr:uid="{00000000-0005-0000-0000-000031010000}"/>
    <cellStyle name="Comma 7" xfId="307" xr:uid="{00000000-0005-0000-0000-000032010000}"/>
    <cellStyle name="Comma 7 2" xfId="308" xr:uid="{00000000-0005-0000-0000-000033010000}"/>
    <cellStyle name="Comma 70" xfId="309" xr:uid="{00000000-0005-0000-0000-000034010000}"/>
    <cellStyle name="Comma 70 2" xfId="310" xr:uid="{00000000-0005-0000-0000-000035010000}"/>
    <cellStyle name="Comma 71" xfId="311" xr:uid="{00000000-0005-0000-0000-000036010000}"/>
    <cellStyle name="Comma 71 2" xfId="312" xr:uid="{00000000-0005-0000-0000-000037010000}"/>
    <cellStyle name="Comma 72" xfId="313" xr:uid="{00000000-0005-0000-0000-000038010000}"/>
    <cellStyle name="Comma 73" xfId="314" xr:uid="{00000000-0005-0000-0000-000039010000}"/>
    <cellStyle name="Comma 74" xfId="315" xr:uid="{00000000-0005-0000-0000-00003A010000}"/>
    <cellStyle name="Comma 75" xfId="316" xr:uid="{00000000-0005-0000-0000-00003B010000}"/>
    <cellStyle name="Comma 76" xfId="317" xr:uid="{00000000-0005-0000-0000-00003C010000}"/>
    <cellStyle name="Comma 8" xfId="318" xr:uid="{00000000-0005-0000-0000-00003D010000}"/>
    <cellStyle name="Comma 9" xfId="319" xr:uid="{00000000-0005-0000-0000-00003E010000}"/>
    <cellStyle name="Comma0" xfId="320" xr:uid="{00000000-0005-0000-0000-00003F010000}"/>
    <cellStyle name="Comma0 2" xfId="321" xr:uid="{00000000-0005-0000-0000-000040010000}"/>
    <cellStyle name="Comma0 2 2" xfId="322" xr:uid="{00000000-0005-0000-0000-000041010000}"/>
    <cellStyle name="Comma0 2 3" xfId="323" xr:uid="{00000000-0005-0000-0000-000042010000}"/>
    <cellStyle name="Comma0 2 4" xfId="324" xr:uid="{00000000-0005-0000-0000-000043010000}"/>
    <cellStyle name="Comma0 2 5" xfId="325" xr:uid="{00000000-0005-0000-0000-000044010000}"/>
    <cellStyle name="Comma0 3" xfId="326" xr:uid="{00000000-0005-0000-0000-000045010000}"/>
    <cellStyle name="Currency" xfId="327" builtinId="4"/>
    <cellStyle name="Currency 2" xfId="328" xr:uid="{00000000-0005-0000-0000-000047010000}"/>
    <cellStyle name="Currency 2 2" xfId="329" xr:uid="{00000000-0005-0000-0000-000048010000}"/>
    <cellStyle name="Currency 2 2 2" xfId="330" xr:uid="{00000000-0005-0000-0000-000049010000}"/>
    <cellStyle name="Currency 2 3" xfId="331" xr:uid="{00000000-0005-0000-0000-00004A010000}"/>
    <cellStyle name="Currency 3" xfId="332" xr:uid="{00000000-0005-0000-0000-00004B010000}"/>
    <cellStyle name="Currency 3 2" xfId="333" xr:uid="{00000000-0005-0000-0000-00004C010000}"/>
    <cellStyle name="Currency 3 2 2" xfId="334" xr:uid="{00000000-0005-0000-0000-00004D010000}"/>
    <cellStyle name="Currency 3 3" xfId="335" xr:uid="{00000000-0005-0000-0000-00004E010000}"/>
    <cellStyle name="Currency 3 3 2" xfId="336" xr:uid="{00000000-0005-0000-0000-00004F010000}"/>
    <cellStyle name="Currency 3 3 2 2" xfId="337" xr:uid="{00000000-0005-0000-0000-000050010000}"/>
    <cellStyle name="Currency 3 3 2 3" xfId="338" xr:uid="{00000000-0005-0000-0000-000051010000}"/>
    <cellStyle name="Currency 3 3 3" xfId="339" xr:uid="{00000000-0005-0000-0000-000052010000}"/>
    <cellStyle name="Currency 3 3 3 2" xfId="340" xr:uid="{00000000-0005-0000-0000-000053010000}"/>
    <cellStyle name="Currency 3 3 3 2 2" xfId="341" xr:uid="{00000000-0005-0000-0000-000054010000}"/>
    <cellStyle name="Currency 3 3 3 2 3" xfId="342" xr:uid="{00000000-0005-0000-0000-000055010000}"/>
    <cellStyle name="Currency 3 3 3 2 4" xfId="343" xr:uid="{00000000-0005-0000-0000-000056010000}"/>
    <cellStyle name="Currency 3 3 3 3" xfId="344" xr:uid="{00000000-0005-0000-0000-000057010000}"/>
    <cellStyle name="Currency 3 3 4" xfId="345" xr:uid="{00000000-0005-0000-0000-000058010000}"/>
    <cellStyle name="Currency 3 3 5" xfId="346" xr:uid="{00000000-0005-0000-0000-000059010000}"/>
    <cellStyle name="Currency 3 3 5 2" xfId="347" xr:uid="{00000000-0005-0000-0000-00005A010000}"/>
    <cellStyle name="Currency 3 3 5 3" xfId="348" xr:uid="{00000000-0005-0000-0000-00005B010000}"/>
    <cellStyle name="Currency 3 3 5 4" xfId="349" xr:uid="{00000000-0005-0000-0000-00005C010000}"/>
    <cellStyle name="Currency 3 4" xfId="350" xr:uid="{00000000-0005-0000-0000-00005D010000}"/>
    <cellStyle name="Currency 3 4 2" xfId="351" xr:uid="{00000000-0005-0000-0000-00005E010000}"/>
    <cellStyle name="Currency 3 4 3" xfId="352" xr:uid="{00000000-0005-0000-0000-00005F010000}"/>
    <cellStyle name="Currency 3 4 4" xfId="353" xr:uid="{00000000-0005-0000-0000-000060010000}"/>
    <cellStyle name="Currency 3 4 4 2" xfId="354" xr:uid="{00000000-0005-0000-0000-000061010000}"/>
    <cellStyle name="Currency 3 4 4 3" xfId="355" xr:uid="{00000000-0005-0000-0000-000062010000}"/>
    <cellStyle name="Currency 3 4 4 4" xfId="356" xr:uid="{00000000-0005-0000-0000-000063010000}"/>
    <cellStyle name="Currency 3 4 5" xfId="357" xr:uid="{00000000-0005-0000-0000-000064010000}"/>
    <cellStyle name="Currency 3 5" xfId="358" xr:uid="{00000000-0005-0000-0000-000065010000}"/>
    <cellStyle name="Currency 3 5 2" xfId="359" xr:uid="{00000000-0005-0000-0000-000066010000}"/>
    <cellStyle name="Currency 3 6" xfId="360" xr:uid="{00000000-0005-0000-0000-000067010000}"/>
    <cellStyle name="Currency 3 7" xfId="361" xr:uid="{00000000-0005-0000-0000-000068010000}"/>
    <cellStyle name="Currency 3 8" xfId="362" xr:uid="{00000000-0005-0000-0000-000069010000}"/>
    <cellStyle name="Currency 4" xfId="363" xr:uid="{00000000-0005-0000-0000-00006A010000}"/>
    <cellStyle name="Currency 4 10" xfId="364" xr:uid="{00000000-0005-0000-0000-00006B010000}"/>
    <cellStyle name="Currency 4 10 2" xfId="365" xr:uid="{00000000-0005-0000-0000-00006C010000}"/>
    <cellStyle name="Currency 4 10 2 2" xfId="366" xr:uid="{00000000-0005-0000-0000-00006D010000}"/>
    <cellStyle name="Currency 4 10 2 2 2" xfId="367" xr:uid="{00000000-0005-0000-0000-00006E010000}"/>
    <cellStyle name="Currency 4 10 2 3" xfId="368" xr:uid="{00000000-0005-0000-0000-00006F010000}"/>
    <cellStyle name="Currency 4 10 2 3 2" xfId="369" xr:uid="{00000000-0005-0000-0000-000070010000}"/>
    <cellStyle name="Currency 4 10 2 4" xfId="370" xr:uid="{00000000-0005-0000-0000-000071010000}"/>
    <cellStyle name="Currency 4 10 3" xfId="371" xr:uid="{00000000-0005-0000-0000-000072010000}"/>
    <cellStyle name="Currency 4 10 3 2" xfId="372" xr:uid="{00000000-0005-0000-0000-000073010000}"/>
    <cellStyle name="Currency 4 10 4" xfId="373" xr:uid="{00000000-0005-0000-0000-000074010000}"/>
    <cellStyle name="Currency 4 10 4 2" xfId="374" xr:uid="{00000000-0005-0000-0000-000075010000}"/>
    <cellStyle name="Currency 4 10 4 3" xfId="375" xr:uid="{00000000-0005-0000-0000-000076010000}"/>
    <cellStyle name="Currency 4 10 5" xfId="376" xr:uid="{00000000-0005-0000-0000-000077010000}"/>
    <cellStyle name="Currency 4 10 5 2" xfId="377" xr:uid="{00000000-0005-0000-0000-000078010000}"/>
    <cellStyle name="Currency 4 2" xfId="378" xr:uid="{00000000-0005-0000-0000-000079010000}"/>
    <cellStyle name="Currency 4 2 2" xfId="379" xr:uid="{00000000-0005-0000-0000-00007A010000}"/>
    <cellStyle name="Currency 4 2 3" xfId="380" xr:uid="{00000000-0005-0000-0000-00007B010000}"/>
    <cellStyle name="Currency 4 3" xfId="381" xr:uid="{00000000-0005-0000-0000-00007C010000}"/>
    <cellStyle name="Currency 4 3 2" xfId="382" xr:uid="{00000000-0005-0000-0000-00007D010000}"/>
    <cellStyle name="Currency 4 3 2 2" xfId="383" xr:uid="{00000000-0005-0000-0000-00007E010000}"/>
    <cellStyle name="Currency 4 3 2 3" xfId="384" xr:uid="{00000000-0005-0000-0000-00007F010000}"/>
    <cellStyle name="Currency 4 3 2 4" xfId="385" xr:uid="{00000000-0005-0000-0000-000080010000}"/>
    <cellStyle name="Currency 4 3 3" xfId="386" xr:uid="{00000000-0005-0000-0000-000081010000}"/>
    <cellStyle name="Currency 4 4" xfId="387" xr:uid="{00000000-0005-0000-0000-000082010000}"/>
    <cellStyle name="Currency 4 5" xfId="388" xr:uid="{00000000-0005-0000-0000-000083010000}"/>
    <cellStyle name="Currency 4 5 2" xfId="389" xr:uid="{00000000-0005-0000-0000-000084010000}"/>
    <cellStyle name="Currency 4 5 3" xfId="390" xr:uid="{00000000-0005-0000-0000-000085010000}"/>
    <cellStyle name="Currency 4 5 4" xfId="391" xr:uid="{00000000-0005-0000-0000-000086010000}"/>
    <cellStyle name="Currency 5" xfId="392" xr:uid="{00000000-0005-0000-0000-000087010000}"/>
    <cellStyle name="Currency 5 2" xfId="393" xr:uid="{00000000-0005-0000-0000-000088010000}"/>
    <cellStyle name="Currency 5 3" xfId="394" xr:uid="{00000000-0005-0000-0000-000089010000}"/>
    <cellStyle name="Currency 5 4" xfId="395" xr:uid="{00000000-0005-0000-0000-00008A010000}"/>
    <cellStyle name="Currency 5 4 2" xfId="396" xr:uid="{00000000-0005-0000-0000-00008B010000}"/>
    <cellStyle name="Currency 5 4 3" xfId="397" xr:uid="{00000000-0005-0000-0000-00008C010000}"/>
    <cellStyle name="Currency 5 4 4" xfId="398" xr:uid="{00000000-0005-0000-0000-00008D010000}"/>
    <cellStyle name="Currency 5 5" xfId="399" xr:uid="{00000000-0005-0000-0000-00008E010000}"/>
    <cellStyle name="Currency 6" xfId="400" xr:uid="{00000000-0005-0000-0000-00008F010000}"/>
    <cellStyle name="Currency 6 2" xfId="401" xr:uid="{00000000-0005-0000-0000-000090010000}"/>
    <cellStyle name="Currency 6 3" xfId="402" xr:uid="{00000000-0005-0000-0000-000091010000}"/>
    <cellStyle name="Currency 6 3 2" xfId="403" xr:uid="{00000000-0005-0000-0000-000092010000}"/>
    <cellStyle name="Currency 6 3 3" xfId="404" xr:uid="{00000000-0005-0000-0000-000093010000}"/>
    <cellStyle name="Currency 6 3 4" xfId="405" xr:uid="{00000000-0005-0000-0000-000094010000}"/>
    <cellStyle name="Currency 7" xfId="406" xr:uid="{00000000-0005-0000-0000-000095010000}"/>
    <cellStyle name="Currency 8" xfId="407" xr:uid="{00000000-0005-0000-0000-000096010000}"/>
    <cellStyle name="Currency 9" xfId="408" xr:uid="{00000000-0005-0000-0000-000097010000}"/>
    <cellStyle name="Currency0" xfId="409" xr:uid="{00000000-0005-0000-0000-000098010000}"/>
    <cellStyle name="Currency0 2" xfId="410" xr:uid="{00000000-0005-0000-0000-000099010000}"/>
    <cellStyle name="Currency0 2 2" xfId="411" xr:uid="{00000000-0005-0000-0000-00009A010000}"/>
    <cellStyle name="Currency0 2 3" xfId="412" xr:uid="{00000000-0005-0000-0000-00009B010000}"/>
    <cellStyle name="Currency0 2 4" xfId="413" xr:uid="{00000000-0005-0000-0000-00009C010000}"/>
    <cellStyle name="Currency0 2 5" xfId="414" xr:uid="{00000000-0005-0000-0000-00009D010000}"/>
    <cellStyle name="Currency0 3" xfId="415" xr:uid="{00000000-0005-0000-0000-00009E010000}"/>
    <cellStyle name="Date" xfId="416" xr:uid="{00000000-0005-0000-0000-00009F010000}"/>
    <cellStyle name="Date 2" xfId="417" xr:uid="{00000000-0005-0000-0000-0000A0010000}"/>
    <cellStyle name="Date 2 2" xfId="418" xr:uid="{00000000-0005-0000-0000-0000A1010000}"/>
    <cellStyle name="Date 2 3" xfId="419" xr:uid="{00000000-0005-0000-0000-0000A2010000}"/>
    <cellStyle name="Date 2 4" xfId="420" xr:uid="{00000000-0005-0000-0000-0000A3010000}"/>
    <cellStyle name="Date 2 5" xfId="421" xr:uid="{00000000-0005-0000-0000-0000A4010000}"/>
    <cellStyle name="Date 3" xfId="422" xr:uid="{00000000-0005-0000-0000-0000A5010000}"/>
    <cellStyle name="Explanatory Text" xfId="423" builtinId="53" customBuiltin="1"/>
    <cellStyle name="Explanatory Text 2" xfId="424" xr:uid="{00000000-0005-0000-0000-0000A7010000}"/>
    <cellStyle name="Explanatory Text 2 2" xfId="425" xr:uid="{00000000-0005-0000-0000-0000A8010000}"/>
    <cellStyle name="Fixed" xfId="426" xr:uid="{00000000-0005-0000-0000-0000A9010000}"/>
    <cellStyle name="Fixed 2" xfId="427" xr:uid="{00000000-0005-0000-0000-0000AA010000}"/>
    <cellStyle name="Fixed 2 2" xfId="428" xr:uid="{00000000-0005-0000-0000-0000AB010000}"/>
    <cellStyle name="Fixed 2 3" xfId="429" xr:uid="{00000000-0005-0000-0000-0000AC010000}"/>
    <cellStyle name="Fixed 2 4" xfId="430" xr:uid="{00000000-0005-0000-0000-0000AD010000}"/>
    <cellStyle name="Fixed 2 5" xfId="431" xr:uid="{00000000-0005-0000-0000-0000AE010000}"/>
    <cellStyle name="Fixed 3" xfId="432" xr:uid="{00000000-0005-0000-0000-0000AF010000}"/>
    <cellStyle name="Good" xfId="433" builtinId="26" customBuiltin="1"/>
    <cellStyle name="Good 2" xfId="434" xr:uid="{00000000-0005-0000-0000-0000B1010000}"/>
    <cellStyle name="Good 2 2" xfId="435" xr:uid="{00000000-0005-0000-0000-0000B2010000}"/>
    <cellStyle name="Heading 1" xfId="436" builtinId="16" customBuiltin="1"/>
    <cellStyle name="Heading 1 2" xfId="437" xr:uid="{00000000-0005-0000-0000-0000B4010000}"/>
    <cellStyle name="Heading 1 2 2" xfId="438" xr:uid="{00000000-0005-0000-0000-0000B5010000}"/>
    <cellStyle name="Heading 1 3" xfId="439" xr:uid="{00000000-0005-0000-0000-0000B6010000}"/>
    <cellStyle name="Heading 1 3 2" xfId="440" xr:uid="{00000000-0005-0000-0000-0000B7010000}"/>
    <cellStyle name="Heading 2" xfId="441" builtinId="17" customBuiltin="1"/>
    <cellStyle name="Heading 2 2" xfId="442" xr:uid="{00000000-0005-0000-0000-0000B9010000}"/>
    <cellStyle name="Heading 2 2 2" xfId="443" xr:uid="{00000000-0005-0000-0000-0000BA010000}"/>
    <cellStyle name="Heading 2 3" xfId="444" xr:uid="{00000000-0005-0000-0000-0000BB010000}"/>
    <cellStyle name="Heading 2 3 2" xfId="445" xr:uid="{00000000-0005-0000-0000-0000BC010000}"/>
    <cellStyle name="Heading 3" xfId="446" builtinId="18" customBuiltin="1"/>
    <cellStyle name="Heading 3 2" xfId="447" xr:uid="{00000000-0005-0000-0000-0000BE010000}"/>
    <cellStyle name="Heading 3 2 2" xfId="448" xr:uid="{00000000-0005-0000-0000-0000BF010000}"/>
    <cellStyle name="Heading 4" xfId="449" builtinId="19" customBuiltin="1"/>
    <cellStyle name="Heading 4 2" xfId="450" xr:uid="{00000000-0005-0000-0000-0000C1010000}"/>
    <cellStyle name="Heading 4 2 2" xfId="451" xr:uid="{00000000-0005-0000-0000-0000C2010000}"/>
    <cellStyle name="Heading1" xfId="452" xr:uid="{00000000-0005-0000-0000-0000C3010000}"/>
    <cellStyle name="Heading2" xfId="453" xr:uid="{00000000-0005-0000-0000-0000C4010000}"/>
    <cellStyle name="Input" xfId="454" builtinId="20" customBuiltin="1"/>
    <cellStyle name="Input 2" xfId="455" xr:uid="{00000000-0005-0000-0000-0000C6010000}"/>
    <cellStyle name="Input 2 2" xfId="456" xr:uid="{00000000-0005-0000-0000-0000C7010000}"/>
    <cellStyle name="Linked Cell" xfId="457" builtinId="24" customBuiltin="1"/>
    <cellStyle name="Linked Cell 2" xfId="458" xr:uid="{00000000-0005-0000-0000-0000C9010000}"/>
    <cellStyle name="Linked Cell 2 2" xfId="459" xr:uid="{00000000-0005-0000-0000-0000CA010000}"/>
    <cellStyle name="M" xfId="460" xr:uid="{00000000-0005-0000-0000-0000CB010000}"/>
    <cellStyle name="M 2" xfId="461" xr:uid="{00000000-0005-0000-0000-0000CC010000}"/>
    <cellStyle name="M 2 2" xfId="462" xr:uid="{00000000-0005-0000-0000-0000CD010000}"/>
    <cellStyle name="M 2 2 2" xfId="463" xr:uid="{00000000-0005-0000-0000-0000CE010000}"/>
    <cellStyle name="M 3" xfId="464" xr:uid="{00000000-0005-0000-0000-0000CF010000}"/>
    <cellStyle name="M 3 2" xfId="465" xr:uid="{00000000-0005-0000-0000-0000D0010000}"/>
    <cellStyle name="M 3 2 2" xfId="466" xr:uid="{00000000-0005-0000-0000-0000D1010000}"/>
    <cellStyle name="M 4" xfId="467" xr:uid="{00000000-0005-0000-0000-0000D2010000}"/>
    <cellStyle name="M 5" xfId="468" xr:uid="{00000000-0005-0000-0000-0000D3010000}"/>
    <cellStyle name="M 5 2" xfId="469" xr:uid="{00000000-0005-0000-0000-0000D4010000}"/>
    <cellStyle name="M 6" xfId="470" xr:uid="{00000000-0005-0000-0000-0000D5010000}"/>
    <cellStyle name="M 6 2" xfId="471" xr:uid="{00000000-0005-0000-0000-0000D6010000}"/>
    <cellStyle name="M 7" xfId="472" xr:uid="{00000000-0005-0000-0000-0000D7010000}"/>
    <cellStyle name="Neutral" xfId="473" builtinId="28" customBuiltin="1"/>
    <cellStyle name="Neutral 2" xfId="474" xr:uid="{00000000-0005-0000-0000-0000D9010000}"/>
    <cellStyle name="Neutral 2 2" xfId="475" xr:uid="{00000000-0005-0000-0000-0000DA010000}"/>
    <cellStyle name="Normal" xfId="0" builtinId="0"/>
    <cellStyle name="Normal 10" xfId="476" xr:uid="{00000000-0005-0000-0000-0000DC010000}"/>
    <cellStyle name="Normal 10 2" xfId="477" xr:uid="{00000000-0005-0000-0000-0000DD010000}"/>
    <cellStyle name="Normal 11" xfId="478" xr:uid="{00000000-0005-0000-0000-0000DE010000}"/>
    <cellStyle name="Normal 11 2" xfId="479" xr:uid="{00000000-0005-0000-0000-0000DF010000}"/>
    <cellStyle name="Normal 11 3" xfId="480" xr:uid="{00000000-0005-0000-0000-0000E0010000}"/>
    <cellStyle name="Normal 12" xfId="481" xr:uid="{00000000-0005-0000-0000-0000E1010000}"/>
    <cellStyle name="Normal 12 2" xfId="482" xr:uid="{00000000-0005-0000-0000-0000E2010000}"/>
    <cellStyle name="Normal 12 3" xfId="483" xr:uid="{00000000-0005-0000-0000-0000E3010000}"/>
    <cellStyle name="Normal 2" xfId="484" xr:uid="{00000000-0005-0000-0000-0000E4010000}"/>
    <cellStyle name="Normal 2 2" xfId="485" xr:uid="{00000000-0005-0000-0000-0000E5010000}"/>
    <cellStyle name="Normal 2 2 2" xfId="486" xr:uid="{00000000-0005-0000-0000-0000E6010000}"/>
    <cellStyle name="Normal 2 2 3" xfId="487" xr:uid="{00000000-0005-0000-0000-0000E7010000}"/>
    <cellStyle name="Normal 2 2 4" xfId="488" xr:uid="{00000000-0005-0000-0000-0000E8010000}"/>
    <cellStyle name="Normal 3" xfId="489" xr:uid="{00000000-0005-0000-0000-0000E9010000}"/>
    <cellStyle name="Normal 3 2" xfId="490" xr:uid="{00000000-0005-0000-0000-0000EA010000}"/>
    <cellStyle name="Normal 3 2 2" xfId="491" xr:uid="{00000000-0005-0000-0000-0000EB010000}"/>
    <cellStyle name="Normal 3 3" xfId="492" xr:uid="{00000000-0005-0000-0000-0000EC010000}"/>
    <cellStyle name="Normal 3 3 2" xfId="493" xr:uid="{00000000-0005-0000-0000-0000ED010000}"/>
    <cellStyle name="Normal 3 3 3" xfId="494" xr:uid="{00000000-0005-0000-0000-0000EE010000}"/>
    <cellStyle name="Normal 3 3 4" xfId="495" xr:uid="{00000000-0005-0000-0000-0000EF010000}"/>
    <cellStyle name="Normal 3_OPCo Period I PJM  Formula Rate" xfId="496" xr:uid="{00000000-0005-0000-0000-0000F0010000}"/>
    <cellStyle name="Normal 35" xfId="497" xr:uid="{00000000-0005-0000-0000-0000F1010000}"/>
    <cellStyle name="Normal 4" xfId="498" xr:uid="{00000000-0005-0000-0000-0000F2010000}"/>
    <cellStyle name="Normal 4 2" xfId="499" xr:uid="{00000000-0005-0000-0000-0000F3010000}"/>
    <cellStyle name="Normal 4 2 2" xfId="500" xr:uid="{00000000-0005-0000-0000-0000F4010000}"/>
    <cellStyle name="Normal 4 3" xfId="501" xr:uid="{00000000-0005-0000-0000-0000F5010000}"/>
    <cellStyle name="Normal 4 3 2" xfId="502" xr:uid="{00000000-0005-0000-0000-0000F6010000}"/>
    <cellStyle name="Normal 4 3 2 2" xfId="503" xr:uid="{00000000-0005-0000-0000-0000F7010000}"/>
    <cellStyle name="Normal 4 3 2 3" xfId="504" xr:uid="{00000000-0005-0000-0000-0000F8010000}"/>
    <cellStyle name="Normal 4 3 3" xfId="505" xr:uid="{00000000-0005-0000-0000-0000F9010000}"/>
    <cellStyle name="Normal 4 3 3 2" xfId="506" xr:uid="{00000000-0005-0000-0000-0000FA010000}"/>
    <cellStyle name="Normal 4 3 3 2 2" xfId="507" xr:uid="{00000000-0005-0000-0000-0000FB010000}"/>
    <cellStyle name="Normal 4 3 3 2 3" xfId="508" xr:uid="{00000000-0005-0000-0000-0000FC010000}"/>
    <cellStyle name="Normal 4 3 3 2 4" xfId="509" xr:uid="{00000000-0005-0000-0000-0000FD010000}"/>
    <cellStyle name="Normal 4 3 3 3" xfId="510" xr:uid="{00000000-0005-0000-0000-0000FE010000}"/>
    <cellStyle name="Normal 4 3 4" xfId="511" xr:uid="{00000000-0005-0000-0000-0000FF010000}"/>
    <cellStyle name="Normal 4 3 5" xfId="512" xr:uid="{00000000-0005-0000-0000-000000020000}"/>
    <cellStyle name="Normal 4 3 5 2" xfId="513" xr:uid="{00000000-0005-0000-0000-000001020000}"/>
    <cellStyle name="Normal 4 3 5 3" xfId="514" xr:uid="{00000000-0005-0000-0000-000002020000}"/>
    <cellStyle name="Normal 4 3 5 4" xfId="515" xr:uid="{00000000-0005-0000-0000-000003020000}"/>
    <cellStyle name="Normal 4 4" xfId="516" xr:uid="{00000000-0005-0000-0000-000004020000}"/>
    <cellStyle name="Normal 4 4 2" xfId="517" xr:uid="{00000000-0005-0000-0000-000005020000}"/>
    <cellStyle name="Normal 4 4 3" xfId="518" xr:uid="{00000000-0005-0000-0000-000006020000}"/>
    <cellStyle name="Normal 4 4 4" xfId="519" xr:uid="{00000000-0005-0000-0000-000007020000}"/>
    <cellStyle name="Normal 4 4 4 2" xfId="520" xr:uid="{00000000-0005-0000-0000-000008020000}"/>
    <cellStyle name="Normal 4 4 4 3" xfId="521" xr:uid="{00000000-0005-0000-0000-000009020000}"/>
    <cellStyle name="Normal 4 4 4 4" xfId="522" xr:uid="{00000000-0005-0000-0000-00000A020000}"/>
    <cellStyle name="Normal 4 4 5" xfId="523" xr:uid="{00000000-0005-0000-0000-00000B020000}"/>
    <cellStyle name="Normal 4 5" xfId="524" xr:uid="{00000000-0005-0000-0000-00000C020000}"/>
    <cellStyle name="Normal 4 5 2" xfId="525" xr:uid="{00000000-0005-0000-0000-00000D020000}"/>
    <cellStyle name="Normal 4 5 2 2" xfId="526" xr:uid="{00000000-0005-0000-0000-00000E020000}"/>
    <cellStyle name="Normal 4 5 2 2 2" xfId="527" xr:uid="{00000000-0005-0000-0000-00000F020000}"/>
    <cellStyle name="Normal 4 5 2 2 3" xfId="528" xr:uid="{00000000-0005-0000-0000-000010020000}"/>
    <cellStyle name="Normal 4 5 2 2 4" xfId="529" xr:uid="{00000000-0005-0000-0000-000011020000}"/>
    <cellStyle name="Normal 4 5 3" xfId="530" xr:uid="{00000000-0005-0000-0000-000012020000}"/>
    <cellStyle name="Normal 4 6" xfId="531" xr:uid="{00000000-0005-0000-0000-000013020000}"/>
    <cellStyle name="Normal 4 7" xfId="532" xr:uid="{00000000-0005-0000-0000-000014020000}"/>
    <cellStyle name="Normal 4 8" xfId="533" xr:uid="{00000000-0005-0000-0000-000015020000}"/>
    <cellStyle name="Normal 4_PBOP Exhibit 1" xfId="534" xr:uid="{00000000-0005-0000-0000-000016020000}"/>
    <cellStyle name="Normal 5" xfId="535" xr:uid="{00000000-0005-0000-0000-000017020000}"/>
    <cellStyle name="Normal 5 2" xfId="536" xr:uid="{00000000-0005-0000-0000-000018020000}"/>
    <cellStyle name="Normal 5 2 2" xfId="537" xr:uid="{00000000-0005-0000-0000-000019020000}"/>
    <cellStyle name="Normal 5 2 3" xfId="538" xr:uid="{00000000-0005-0000-0000-00001A020000}"/>
    <cellStyle name="Normal 5 2 4" xfId="539" xr:uid="{00000000-0005-0000-0000-00001B020000}"/>
    <cellStyle name="Normal 6" xfId="540" xr:uid="{00000000-0005-0000-0000-00001C020000}"/>
    <cellStyle name="Normal 6 2" xfId="541" xr:uid="{00000000-0005-0000-0000-00001D020000}"/>
    <cellStyle name="Normal 7" xfId="542" xr:uid="{00000000-0005-0000-0000-00001E020000}"/>
    <cellStyle name="Normal 7 2" xfId="543" xr:uid="{00000000-0005-0000-0000-00001F020000}"/>
    <cellStyle name="Normal 7 3" xfId="544" xr:uid="{00000000-0005-0000-0000-000020020000}"/>
    <cellStyle name="Normal 8" xfId="545" xr:uid="{00000000-0005-0000-0000-000021020000}"/>
    <cellStyle name="Normal 8 2" xfId="546" xr:uid="{00000000-0005-0000-0000-000022020000}"/>
    <cellStyle name="Normal 9" xfId="547" xr:uid="{00000000-0005-0000-0000-000023020000}"/>
    <cellStyle name="Normal 9 2" xfId="548" xr:uid="{00000000-0005-0000-0000-000024020000}"/>
    <cellStyle name="Normal_FN1 Ratebase Draft SPP template (6-11-04) v2" xfId="549" xr:uid="{00000000-0005-0000-0000-000025020000}"/>
    <cellStyle name="Note" xfId="550" builtinId="10" customBuiltin="1"/>
    <cellStyle name="Note 2" xfId="551" xr:uid="{00000000-0005-0000-0000-000027020000}"/>
    <cellStyle name="Note 2 2" xfId="552" xr:uid="{00000000-0005-0000-0000-000028020000}"/>
    <cellStyle name="Note 2 2 2" xfId="553" xr:uid="{00000000-0005-0000-0000-000029020000}"/>
    <cellStyle name="Note 2 2 3" xfId="554" xr:uid="{00000000-0005-0000-0000-00002A020000}"/>
    <cellStyle name="Note 2 2 4" xfId="555" xr:uid="{00000000-0005-0000-0000-00002B020000}"/>
    <cellStyle name="Output" xfId="556" builtinId="21" customBuiltin="1"/>
    <cellStyle name="Output 2" xfId="557" xr:uid="{00000000-0005-0000-0000-00002D020000}"/>
    <cellStyle name="Output 2 2" xfId="558" xr:uid="{00000000-0005-0000-0000-00002E020000}"/>
    <cellStyle name="Percent" xfId="559" builtinId="5"/>
    <cellStyle name="Percent 10" xfId="560" xr:uid="{00000000-0005-0000-0000-000030020000}"/>
    <cellStyle name="Percent 2" xfId="561" xr:uid="{00000000-0005-0000-0000-000031020000}"/>
    <cellStyle name="Percent 2 2" xfId="562" xr:uid="{00000000-0005-0000-0000-000032020000}"/>
    <cellStyle name="Percent 2 2 2" xfId="563" xr:uid="{00000000-0005-0000-0000-000033020000}"/>
    <cellStyle name="Percent 2 3" xfId="564" xr:uid="{00000000-0005-0000-0000-000034020000}"/>
    <cellStyle name="Percent 3" xfId="565" xr:uid="{00000000-0005-0000-0000-000035020000}"/>
    <cellStyle name="Percent 3 2" xfId="566" xr:uid="{00000000-0005-0000-0000-000036020000}"/>
    <cellStyle name="Percent 3 2 2" xfId="567" xr:uid="{00000000-0005-0000-0000-000037020000}"/>
    <cellStyle name="Percent 3 3" xfId="568" xr:uid="{00000000-0005-0000-0000-000038020000}"/>
    <cellStyle name="Percent 3 3 2" xfId="569" xr:uid="{00000000-0005-0000-0000-000039020000}"/>
    <cellStyle name="Percent 3 3 2 2" xfId="570" xr:uid="{00000000-0005-0000-0000-00003A020000}"/>
    <cellStyle name="Percent 3 3 2 3" xfId="571" xr:uid="{00000000-0005-0000-0000-00003B020000}"/>
    <cellStyle name="Percent 3 3 3" xfId="572" xr:uid="{00000000-0005-0000-0000-00003C020000}"/>
    <cellStyle name="Percent 3 3 3 2" xfId="573" xr:uid="{00000000-0005-0000-0000-00003D020000}"/>
    <cellStyle name="Percent 3 3 3 2 2" xfId="574" xr:uid="{00000000-0005-0000-0000-00003E020000}"/>
    <cellStyle name="Percent 3 3 3 2 3" xfId="575" xr:uid="{00000000-0005-0000-0000-00003F020000}"/>
    <cellStyle name="Percent 3 3 3 2 4" xfId="576" xr:uid="{00000000-0005-0000-0000-000040020000}"/>
    <cellStyle name="Percent 3 3 3 3" xfId="577" xr:uid="{00000000-0005-0000-0000-000041020000}"/>
    <cellStyle name="Percent 3 3 4" xfId="578" xr:uid="{00000000-0005-0000-0000-000042020000}"/>
    <cellStyle name="Percent 3 3 5" xfId="579" xr:uid="{00000000-0005-0000-0000-000043020000}"/>
    <cellStyle name="Percent 3 3 5 2" xfId="580" xr:uid="{00000000-0005-0000-0000-000044020000}"/>
    <cellStyle name="Percent 3 3 5 3" xfId="581" xr:uid="{00000000-0005-0000-0000-000045020000}"/>
    <cellStyle name="Percent 3 3 5 4" xfId="582" xr:uid="{00000000-0005-0000-0000-000046020000}"/>
    <cellStyle name="Percent 3 4" xfId="583" xr:uid="{00000000-0005-0000-0000-000047020000}"/>
    <cellStyle name="Percent 3 4 2" xfId="584" xr:uid="{00000000-0005-0000-0000-000048020000}"/>
    <cellStyle name="Percent 3 4 3" xfId="585" xr:uid="{00000000-0005-0000-0000-000049020000}"/>
    <cellStyle name="Percent 3 4 4" xfId="586" xr:uid="{00000000-0005-0000-0000-00004A020000}"/>
    <cellStyle name="Percent 3 4 4 2" xfId="587" xr:uid="{00000000-0005-0000-0000-00004B020000}"/>
    <cellStyle name="Percent 3 4 4 3" xfId="588" xr:uid="{00000000-0005-0000-0000-00004C020000}"/>
    <cellStyle name="Percent 3 4 4 4" xfId="589" xr:uid="{00000000-0005-0000-0000-00004D020000}"/>
    <cellStyle name="Percent 3 4 5" xfId="590" xr:uid="{00000000-0005-0000-0000-00004E020000}"/>
    <cellStyle name="Percent 3 5" xfId="591" xr:uid="{00000000-0005-0000-0000-00004F020000}"/>
    <cellStyle name="Percent 3 5 2" xfId="592" xr:uid="{00000000-0005-0000-0000-000050020000}"/>
    <cellStyle name="Percent 3 6" xfId="593" xr:uid="{00000000-0005-0000-0000-000051020000}"/>
    <cellStyle name="Percent 3 7" xfId="594" xr:uid="{00000000-0005-0000-0000-000052020000}"/>
    <cellStyle name="Percent 3 8" xfId="595" xr:uid="{00000000-0005-0000-0000-000053020000}"/>
    <cellStyle name="Percent 4" xfId="596" xr:uid="{00000000-0005-0000-0000-000054020000}"/>
    <cellStyle name="Percent 4 2" xfId="597" xr:uid="{00000000-0005-0000-0000-000055020000}"/>
    <cellStyle name="Percent 4 2 2" xfId="598" xr:uid="{00000000-0005-0000-0000-000056020000}"/>
    <cellStyle name="Percent 4 2 3" xfId="599" xr:uid="{00000000-0005-0000-0000-000057020000}"/>
    <cellStyle name="Percent 4 3" xfId="600" xr:uid="{00000000-0005-0000-0000-000058020000}"/>
    <cellStyle name="Percent 4 3 2" xfId="601" xr:uid="{00000000-0005-0000-0000-000059020000}"/>
    <cellStyle name="Percent 4 3 2 2" xfId="602" xr:uid="{00000000-0005-0000-0000-00005A020000}"/>
    <cellStyle name="Percent 4 3 2 3" xfId="603" xr:uid="{00000000-0005-0000-0000-00005B020000}"/>
    <cellStyle name="Percent 4 3 2 4" xfId="604" xr:uid="{00000000-0005-0000-0000-00005C020000}"/>
    <cellStyle name="Percent 4 3 3" xfId="605" xr:uid="{00000000-0005-0000-0000-00005D020000}"/>
    <cellStyle name="Percent 4 4" xfId="606" xr:uid="{00000000-0005-0000-0000-00005E020000}"/>
    <cellStyle name="Percent 4 5" xfId="607" xr:uid="{00000000-0005-0000-0000-00005F020000}"/>
    <cellStyle name="Percent 4 5 2" xfId="608" xr:uid="{00000000-0005-0000-0000-000060020000}"/>
    <cellStyle name="Percent 4 5 3" xfId="609" xr:uid="{00000000-0005-0000-0000-000061020000}"/>
    <cellStyle name="Percent 4 5 4" xfId="610" xr:uid="{00000000-0005-0000-0000-000062020000}"/>
    <cellStyle name="Percent 5" xfId="611" xr:uid="{00000000-0005-0000-0000-000063020000}"/>
    <cellStyle name="Percent 5 2" xfId="612" xr:uid="{00000000-0005-0000-0000-000064020000}"/>
    <cellStyle name="Percent 5 3" xfId="613" xr:uid="{00000000-0005-0000-0000-000065020000}"/>
    <cellStyle name="Percent 5 4" xfId="614" xr:uid="{00000000-0005-0000-0000-000066020000}"/>
    <cellStyle name="Percent 5 4 2" xfId="615" xr:uid="{00000000-0005-0000-0000-000067020000}"/>
    <cellStyle name="Percent 5 4 3" xfId="616" xr:uid="{00000000-0005-0000-0000-000068020000}"/>
    <cellStyle name="Percent 5 4 4" xfId="617" xr:uid="{00000000-0005-0000-0000-000069020000}"/>
    <cellStyle name="Percent 5 5" xfId="618" xr:uid="{00000000-0005-0000-0000-00006A020000}"/>
    <cellStyle name="Percent 6" xfId="619" xr:uid="{00000000-0005-0000-0000-00006B020000}"/>
    <cellStyle name="Percent 6 2" xfId="620" xr:uid="{00000000-0005-0000-0000-00006C020000}"/>
    <cellStyle name="Percent 7" xfId="621" xr:uid="{00000000-0005-0000-0000-00006D020000}"/>
    <cellStyle name="Percent 7 2" xfId="622" xr:uid="{00000000-0005-0000-0000-00006E020000}"/>
    <cellStyle name="Percent 7 2 2" xfId="623" xr:uid="{00000000-0005-0000-0000-00006F020000}"/>
    <cellStyle name="Percent 7 2 2 2" xfId="624" xr:uid="{00000000-0005-0000-0000-000070020000}"/>
    <cellStyle name="Percent 7 2 2 2 2" xfId="625" xr:uid="{00000000-0005-0000-0000-000071020000}"/>
    <cellStyle name="Percent 7 2 2 3" xfId="626" xr:uid="{00000000-0005-0000-0000-000072020000}"/>
    <cellStyle name="Percent 7 2 2 3 2" xfId="627" xr:uid="{00000000-0005-0000-0000-000073020000}"/>
    <cellStyle name="Percent 7 2 2 4" xfId="628" xr:uid="{00000000-0005-0000-0000-000074020000}"/>
    <cellStyle name="Percent 7 2 3" xfId="629" xr:uid="{00000000-0005-0000-0000-000075020000}"/>
    <cellStyle name="Percent 7 2 3 2" xfId="630" xr:uid="{00000000-0005-0000-0000-000076020000}"/>
    <cellStyle name="Percent 7 2 4" xfId="631" xr:uid="{00000000-0005-0000-0000-000077020000}"/>
    <cellStyle name="Percent 7 2 4 2" xfId="632" xr:uid="{00000000-0005-0000-0000-000078020000}"/>
    <cellStyle name="Percent 7 2 4 3" xfId="633" xr:uid="{00000000-0005-0000-0000-000079020000}"/>
    <cellStyle name="Percent 7 2 5" xfId="634" xr:uid="{00000000-0005-0000-0000-00007A020000}"/>
    <cellStyle name="Percent 7 2 5 2" xfId="635" xr:uid="{00000000-0005-0000-0000-00007B020000}"/>
    <cellStyle name="Percent 7 3" xfId="636" xr:uid="{00000000-0005-0000-0000-00007C020000}"/>
    <cellStyle name="Percent 7 4" xfId="637" xr:uid="{00000000-0005-0000-0000-00007D020000}"/>
    <cellStyle name="Percent 7 5" xfId="638" xr:uid="{00000000-0005-0000-0000-00007E020000}"/>
    <cellStyle name="Percent 8" xfId="639" xr:uid="{00000000-0005-0000-0000-00007F020000}"/>
    <cellStyle name="Percent 9" xfId="640" xr:uid="{00000000-0005-0000-0000-000080020000}"/>
    <cellStyle name="PSChar" xfId="641" xr:uid="{00000000-0005-0000-0000-000081020000}"/>
    <cellStyle name="PSChar 2" xfId="642" xr:uid="{00000000-0005-0000-0000-000082020000}"/>
    <cellStyle name="PSChar 2 2" xfId="643" xr:uid="{00000000-0005-0000-0000-000083020000}"/>
    <cellStyle name="PSChar 3" xfId="644" xr:uid="{00000000-0005-0000-0000-000084020000}"/>
    <cellStyle name="PSChar 4" xfId="645" xr:uid="{00000000-0005-0000-0000-000085020000}"/>
    <cellStyle name="PSChar 4 2" xfId="646" xr:uid="{00000000-0005-0000-0000-000086020000}"/>
    <cellStyle name="PSChar 5" xfId="647" xr:uid="{00000000-0005-0000-0000-000087020000}"/>
    <cellStyle name="PSChar 5 2" xfId="648" xr:uid="{00000000-0005-0000-0000-000088020000}"/>
    <cellStyle name="PSDate" xfId="649" xr:uid="{00000000-0005-0000-0000-000089020000}"/>
    <cellStyle name="PSDate 2" xfId="650" xr:uid="{00000000-0005-0000-0000-00008A020000}"/>
    <cellStyle name="PSDate 3" xfId="651" xr:uid="{00000000-0005-0000-0000-00008B020000}"/>
    <cellStyle name="PSDate 4" xfId="652" xr:uid="{00000000-0005-0000-0000-00008C020000}"/>
    <cellStyle name="PSDate 4 2" xfId="653" xr:uid="{00000000-0005-0000-0000-00008D020000}"/>
    <cellStyle name="PSDate 5" xfId="654" xr:uid="{00000000-0005-0000-0000-00008E020000}"/>
    <cellStyle name="PSDate 5 2" xfId="655" xr:uid="{00000000-0005-0000-0000-00008F020000}"/>
    <cellStyle name="PSDec" xfId="656" xr:uid="{00000000-0005-0000-0000-000090020000}"/>
    <cellStyle name="PSDec 2" xfId="657" xr:uid="{00000000-0005-0000-0000-000091020000}"/>
    <cellStyle name="PSDec 3" xfId="658" xr:uid="{00000000-0005-0000-0000-000092020000}"/>
    <cellStyle name="PSDec 4" xfId="659" xr:uid="{00000000-0005-0000-0000-000093020000}"/>
    <cellStyle name="PSDec 4 2" xfId="660" xr:uid="{00000000-0005-0000-0000-000094020000}"/>
    <cellStyle name="PSDec 5" xfId="661" xr:uid="{00000000-0005-0000-0000-000095020000}"/>
    <cellStyle name="PSDec 5 2" xfId="662" xr:uid="{00000000-0005-0000-0000-000096020000}"/>
    <cellStyle name="PSdesc" xfId="663" xr:uid="{00000000-0005-0000-0000-000097020000}"/>
    <cellStyle name="PSdesc 2" xfId="664" xr:uid="{00000000-0005-0000-0000-000098020000}"/>
    <cellStyle name="PSHeading" xfId="665" xr:uid="{00000000-0005-0000-0000-000099020000}"/>
    <cellStyle name="PSHeading 2" xfId="666" xr:uid="{00000000-0005-0000-0000-00009A020000}"/>
    <cellStyle name="PSHeading 3" xfId="667" xr:uid="{00000000-0005-0000-0000-00009B020000}"/>
    <cellStyle name="PSHeading 4" xfId="668" xr:uid="{00000000-0005-0000-0000-00009C020000}"/>
    <cellStyle name="PSHeading 5" xfId="669" xr:uid="{00000000-0005-0000-0000-00009D020000}"/>
    <cellStyle name="PSHeading 5 2" xfId="670" xr:uid="{00000000-0005-0000-0000-00009E020000}"/>
    <cellStyle name="PSHeading 6" xfId="671" xr:uid="{00000000-0005-0000-0000-00009F020000}"/>
    <cellStyle name="PSHeading 6 2" xfId="672" xr:uid="{00000000-0005-0000-0000-0000A0020000}"/>
    <cellStyle name="PSInt" xfId="673" xr:uid="{00000000-0005-0000-0000-0000A1020000}"/>
    <cellStyle name="PSInt 2" xfId="674" xr:uid="{00000000-0005-0000-0000-0000A2020000}"/>
    <cellStyle name="PSInt 3" xfId="675" xr:uid="{00000000-0005-0000-0000-0000A3020000}"/>
    <cellStyle name="PSInt 4" xfId="676" xr:uid="{00000000-0005-0000-0000-0000A4020000}"/>
    <cellStyle name="PSInt 4 2" xfId="677" xr:uid="{00000000-0005-0000-0000-0000A5020000}"/>
    <cellStyle name="PSInt 5" xfId="678" xr:uid="{00000000-0005-0000-0000-0000A6020000}"/>
    <cellStyle name="PSInt 5 2" xfId="679" xr:uid="{00000000-0005-0000-0000-0000A7020000}"/>
    <cellStyle name="PSSpacer" xfId="680" xr:uid="{00000000-0005-0000-0000-0000A8020000}"/>
    <cellStyle name="PSSpacer 2" xfId="681" xr:uid="{00000000-0005-0000-0000-0000A9020000}"/>
    <cellStyle name="PSSpacer 3" xfId="682" xr:uid="{00000000-0005-0000-0000-0000AA020000}"/>
    <cellStyle name="PSSpacer 3 2" xfId="683" xr:uid="{00000000-0005-0000-0000-0000AB020000}"/>
    <cellStyle name="PStest" xfId="684" xr:uid="{00000000-0005-0000-0000-0000AC020000}"/>
    <cellStyle name="PStest 2" xfId="685" xr:uid="{00000000-0005-0000-0000-0000AD020000}"/>
    <cellStyle name="R00A" xfId="686" xr:uid="{00000000-0005-0000-0000-0000AE020000}"/>
    <cellStyle name="R00B" xfId="687" xr:uid="{00000000-0005-0000-0000-0000AF020000}"/>
    <cellStyle name="R00L" xfId="688" xr:uid="{00000000-0005-0000-0000-0000B0020000}"/>
    <cellStyle name="R01A" xfId="689" xr:uid="{00000000-0005-0000-0000-0000B1020000}"/>
    <cellStyle name="R01B" xfId="690" xr:uid="{00000000-0005-0000-0000-0000B2020000}"/>
    <cellStyle name="R01H" xfId="691" xr:uid="{00000000-0005-0000-0000-0000B3020000}"/>
    <cellStyle name="R01L" xfId="692" xr:uid="{00000000-0005-0000-0000-0000B4020000}"/>
    <cellStyle name="R02A" xfId="693" xr:uid="{00000000-0005-0000-0000-0000B5020000}"/>
    <cellStyle name="R02B" xfId="694" xr:uid="{00000000-0005-0000-0000-0000B6020000}"/>
    <cellStyle name="R02B 2" xfId="695" xr:uid="{00000000-0005-0000-0000-0000B7020000}"/>
    <cellStyle name="R02H" xfId="696" xr:uid="{00000000-0005-0000-0000-0000B8020000}"/>
    <cellStyle name="R02L" xfId="697" xr:uid="{00000000-0005-0000-0000-0000B9020000}"/>
    <cellStyle name="R03A" xfId="698" xr:uid="{00000000-0005-0000-0000-0000BA020000}"/>
    <cellStyle name="R03B" xfId="699" xr:uid="{00000000-0005-0000-0000-0000BB020000}"/>
    <cellStyle name="R03B 2" xfId="700" xr:uid="{00000000-0005-0000-0000-0000BC020000}"/>
    <cellStyle name="R03H" xfId="701" xr:uid="{00000000-0005-0000-0000-0000BD020000}"/>
    <cellStyle name="R03L" xfId="702" xr:uid="{00000000-0005-0000-0000-0000BE020000}"/>
    <cellStyle name="R04A" xfId="703" xr:uid="{00000000-0005-0000-0000-0000BF020000}"/>
    <cellStyle name="R04B" xfId="704" xr:uid="{00000000-0005-0000-0000-0000C0020000}"/>
    <cellStyle name="R04B 2" xfId="705" xr:uid="{00000000-0005-0000-0000-0000C1020000}"/>
    <cellStyle name="R04H" xfId="706" xr:uid="{00000000-0005-0000-0000-0000C2020000}"/>
    <cellStyle name="R04L" xfId="707" xr:uid="{00000000-0005-0000-0000-0000C3020000}"/>
    <cellStyle name="R05A" xfId="708" xr:uid="{00000000-0005-0000-0000-0000C4020000}"/>
    <cellStyle name="R05B" xfId="709" xr:uid="{00000000-0005-0000-0000-0000C5020000}"/>
    <cellStyle name="R05B 2" xfId="710" xr:uid="{00000000-0005-0000-0000-0000C6020000}"/>
    <cellStyle name="R05H" xfId="711" xr:uid="{00000000-0005-0000-0000-0000C7020000}"/>
    <cellStyle name="R05L" xfId="712" xr:uid="{00000000-0005-0000-0000-0000C8020000}"/>
    <cellStyle name="R05L 2" xfId="713" xr:uid="{00000000-0005-0000-0000-0000C9020000}"/>
    <cellStyle name="R06A" xfId="714" xr:uid="{00000000-0005-0000-0000-0000CA020000}"/>
    <cellStyle name="R06B" xfId="715" xr:uid="{00000000-0005-0000-0000-0000CB020000}"/>
    <cellStyle name="R06B 2" xfId="716" xr:uid="{00000000-0005-0000-0000-0000CC020000}"/>
    <cellStyle name="R06H" xfId="717" xr:uid="{00000000-0005-0000-0000-0000CD020000}"/>
    <cellStyle name="R06L" xfId="718" xr:uid="{00000000-0005-0000-0000-0000CE020000}"/>
    <cellStyle name="R07A" xfId="719" xr:uid="{00000000-0005-0000-0000-0000CF020000}"/>
    <cellStyle name="R07B" xfId="720" xr:uid="{00000000-0005-0000-0000-0000D0020000}"/>
    <cellStyle name="R07B 2" xfId="721" xr:uid="{00000000-0005-0000-0000-0000D1020000}"/>
    <cellStyle name="R07H" xfId="722" xr:uid="{00000000-0005-0000-0000-0000D2020000}"/>
    <cellStyle name="R07L" xfId="723" xr:uid="{00000000-0005-0000-0000-0000D3020000}"/>
    <cellStyle name="Title" xfId="724" builtinId="15" customBuiltin="1"/>
    <cellStyle name="Title 2" xfId="725" xr:uid="{00000000-0005-0000-0000-0000D5020000}"/>
    <cellStyle name="Title 2 2" xfId="726" xr:uid="{00000000-0005-0000-0000-0000D6020000}"/>
    <cellStyle name="Total" xfId="727" builtinId="25" customBuiltin="1"/>
    <cellStyle name="Total 2" xfId="728" xr:uid="{00000000-0005-0000-0000-0000D8020000}"/>
    <cellStyle name="Total 2 2" xfId="729" xr:uid="{00000000-0005-0000-0000-0000D9020000}"/>
    <cellStyle name="Total 3" xfId="730" xr:uid="{00000000-0005-0000-0000-0000DA020000}"/>
    <cellStyle name="Total 3 2" xfId="731" xr:uid="{00000000-0005-0000-0000-0000DB020000}"/>
    <cellStyle name="Warning Text" xfId="732" builtinId="11" customBuiltin="1"/>
    <cellStyle name="Warning Text 2" xfId="733" xr:uid="{00000000-0005-0000-0000-0000DD020000}"/>
    <cellStyle name="Warning Text 2 2" xfId="734" xr:uid="{00000000-0005-0000-0000-0000DE020000}"/>
  </cellStyles>
  <dxfs count="71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28</xdr:row>
      <xdr:rowOff>114300</xdr:rowOff>
    </xdr:from>
    <xdr:to>
      <xdr:col>4</xdr:col>
      <xdr:colOff>495300</xdr:colOff>
      <xdr:row>29</xdr:row>
      <xdr:rowOff>152400</xdr:rowOff>
    </xdr:to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3914775" y="543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10741" name="Text Box 1">
          <a:extLst>
            <a:ext uri="{FF2B5EF4-FFF2-40B4-BE49-F238E27FC236}">
              <a16:creationId xmlns:a16="http://schemas.microsoft.com/office/drawing/2014/main" id="{00000000-0008-0000-0B00-0000F52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20978" name="Text Box 1">
          <a:extLst>
            <a:ext uri="{FF2B5EF4-FFF2-40B4-BE49-F238E27FC236}">
              <a16:creationId xmlns:a16="http://schemas.microsoft.com/office/drawing/2014/main" id="{00000000-0008-0000-0C00-0000F25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22004" name="Text Box 1">
          <a:extLst>
            <a:ext uri="{FF2B5EF4-FFF2-40B4-BE49-F238E27FC236}">
              <a16:creationId xmlns:a16="http://schemas.microsoft.com/office/drawing/2014/main" id="{00000000-0008-0000-0D00-0000F45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4050" name="Text Box 1">
          <a:extLst>
            <a:ext uri="{FF2B5EF4-FFF2-40B4-BE49-F238E27FC236}">
              <a16:creationId xmlns:a16="http://schemas.microsoft.com/office/drawing/2014/main" id="{00000000-0008-0000-0E00-0000F25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25074" name="Text Box 1">
          <a:extLst>
            <a:ext uri="{FF2B5EF4-FFF2-40B4-BE49-F238E27FC236}">
              <a16:creationId xmlns:a16="http://schemas.microsoft.com/office/drawing/2014/main" id="{00000000-0008-0000-0F00-0000F26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27119" name="Text Box 1">
          <a:extLst>
            <a:ext uri="{FF2B5EF4-FFF2-40B4-BE49-F238E27FC236}">
              <a16:creationId xmlns:a16="http://schemas.microsoft.com/office/drawing/2014/main" id="{00000000-0008-0000-1000-0000EF6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8088" name="Text Box 1">
          <a:extLst>
            <a:ext uri="{FF2B5EF4-FFF2-40B4-BE49-F238E27FC236}">
              <a16:creationId xmlns:a16="http://schemas.microsoft.com/office/drawing/2014/main" id="{00000000-0008-0000-1100-0000B86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29109" name="Text Box 1">
          <a:extLst>
            <a:ext uri="{FF2B5EF4-FFF2-40B4-BE49-F238E27FC236}">
              <a16:creationId xmlns:a16="http://schemas.microsoft.com/office/drawing/2014/main" id="{00000000-0008-0000-1200-0000B57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30080" name="Text Box 1">
          <a:extLst>
            <a:ext uri="{FF2B5EF4-FFF2-40B4-BE49-F238E27FC236}">
              <a16:creationId xmlns:a16="http://schemas.microsoft.com/office/drawing/2014/main" id="{00000000-0008-0000-1300-0000807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31104" name="Text Box 1">
          <a:extLst>
            <a:ext uri="{FF2B5EF4-FFF2-40B4-BE49-F238E27FC236}">
              <a16:creationId xmlns:a16="http://schemas.microsoft.com/office/drawing/2014/main" id="{00000000-0008-0000-1400-0000807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00000000-0008-0000-0300-0000F60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38147" name="Text Box 1">
          <a:extLst>
            <a:ext uri="{FF2B5EF4-FFF2-40B4-BE49-F238E27FC236}">
              <a16:creationId xmlns:a16="http://schemas.microsoft.com/office/drawing/2014/main" id="{00000000-0008-0000-1500-0000039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39171" name="Text Box 1">
          <a:extLst>
            <a:ext uri="{FF2B5EF4-FFF2-40B4-BE49-F238E27FC236}">
              <a16:creationId xmlns:a16="http://schemas.microsoft.com/office/drawing/2014/main" id="{00000000-0008-0000-1600-0000039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40195" name="Text Box 1">
          <a:extLst>
            <a:ext uri="{FF2B5EF4-FFF2-40B4-BE49-F238E27FC236}">
              <a16:creationId xmlns:a16="http://schemas.microsoft.com/office/drawing/2014/main" id="{00000000-0008-0000-1700-0000039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41219" name="Text Box 1">
          <a:extLst>
            <a:ext uri="{FF2B5EF4-FFF2-40B4-BE49-F238E27FC236}">
              <a16:creationId xmlns:a16="http://schemas.microsoft.com/office/drawing/2014/main" id="{00000000-0008-0000-1800-000003A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1</xdr:row>
      <xdr:rowOff>0</xdr:rowOff>
    </xdr:to>
    <xdr:sp macro="" textlink="">
      <xdr:nvSpPr>
        <xdr:cNvPr id="43102" name="Text Box 1">
          <a:extLst>
            <a:ext uri="{FF2B5EF4-FFF2-40B4-BE49-F238E27FC236}">
              <a16:creationId xmlns:a16="http://schemas.microsoft.com/office/drawing/2014/main" id="{00000000-0008-0000-1900-00005EA8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1</xdr:row>
      <xdr:rowOff>0</xdr:rowOff>
    </xdr:to>
    <xdr:sp macro="" textlink="">
      <xdr:nvSpPr>
        <xdr:cNvPr id="44126" name="Text Box 1">
          <a:extLst>
            <a:ext uri="{FF2B5EF4-FFF2-40B4-BE49-F238E27FC236}">
              <a16:creationId xmlns:a16="http://schemas.microsoft.com/office/drawing/2014/main" id="{00000000-0008-0000-1A00-00005EAC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1</xdr:row>
      <xdr:rowOff>76200</xdr:rowOff>
    </xdr:to>
    <xdr:sp macro="" textlink="">
      <xdr:nvSpPr>
        <xdr:cNvPr id="48143" name="Text Box 1">
          <a:extLst>
            <a:ext uri="{FF2B5EF4-FFF2-40B4-BE49-F238E27FC236}">
              <a16:creationId xmlns:a16="http://schemas.microsoft.com/office/drawing/2014/main" id="{00000000-0008-0000-1B00-00000FBC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1</xdr:row>
      <xdr:rowOff>76200</xdr:rowOff>
    </xdr:to>
    <xdr:sp macro="" textlink="">
      <xdr:nvSpPr>
        <xdr:cNvPr id="49167" name="Text Box 1">
          <a:extLst>
            <a:ext uri="{FF2B5EF4-FFF2-40B4-BE49-F238E27FC236}">
              <a16:creationId xmlns:a16="http://schemas.microsoft.com/office/drawing/2014/main" id="{00000000-0008-0000-1C00-00000FC0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1</xdr:row>
      <xdr:rowOff>76200</xdr:rowOff>
    </xdr:to>
    <xdr:sp macro="" textlink="">
      <xdr:nvSpPr>
        <xdr:cNvPr id="50191" name="Text Box 1">
          <a:extLst>
            <a:ext uri="{FF2B5EF4-FFF2-40B4-BE49-F238E27FC236}">
              <a16:creationId xmlns:a16="http://schemas.microsoft.com/office/drawing/2014/main" id="{00000000-0008-0000-1D00-00000FC4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51215" name="Text Box 1">
          <a:extLst>
            <a:ext uri="{FF2B5EF4-FFF2-40B4-BE49-F238E27FC236}">
              <a16:creationId xmlns:a16="http://schemas.microsoft.com/office/drawing/2014/main" id="{00000000-0008-0000-1E00-00000FC8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00000000-0008-0000-0400-0000F40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2</xdr:row>
      <xdr:rowOff>6350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2</xdr:row>
      <xdr:rowOff>6350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2</xdr:row>
      <xdr:rowOff>6350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AF8C6D8-D66F-413B-B95E-8DC9013738A5}"/>
            </a:ext>
          </a:extLst>
        </xdr:cNvPr>
        <xdr:cNvSpPr txBox="1">
          <a:spLocks noChangeArrowheads="1"/>
        </xdr:cNvSpPr>
      </xdr:nvSpPr>
      <xdr:spPr bwMode="auto">
        <a:xfrm>
          <a:off x="4073525" y="0"/>
          <a:ext cx="1143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520700</xdr:colOff>
      <xdr:row>0</xdr:row>
      <xdr:rowOff>234950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1F06F6E-CBA5-426F-9CC9-FC4FA78DCD4E}"/>
            </a:ext>
          </a:extLst>
        </xdr:cNvPr>
        <xdr:cNvSpPr txBox="1">
          <a:spLocks noChangeArrowheads="1"/>
        </xdr:cNvSpPr>
      </xdr:nvSpPr>
      <xdr:spPr bwMode="auto">
        <a:xfrm>
          <a:off x="4073525" y="0"/>
          <a:ext cx="1174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12787" name="Text Box 1">
          <a:extLst>
            <a:ext uri="{FF2B5EF4-FFF2-40B4-BE49-F238E27FC236}">
              <a16:creationId xmlns:a16="http://schemas.microsoft.com/office/drawing/2014/main" id="{00000000-0008-0000-2200-0000F33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id="{00000000-0008-0000-0500-0000F41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id="{00000000-0008-0000-0600-00000716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00000000-0008-0000-0700-0000F519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id="{00000000-0008-0000-0800-0000F51D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8690" name="Text Box 1">
          <a:extLst>
            <a:ext uri="{FF2B5EF4-FFF2-40B4-BE49-F238E27FC236}">
              <a16:creationId xmlns:a16="http://schemas.microsoft.com/office/drawing/2014/main" id="{00000000-0008-0000-0900-0000F221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501650</xdr:colOff>
      <xdr:row>0</xdr:row>
      <xdr:rowOff>215900</xdr:rowOff>
    </xdr:to>
    <xdr:sp macro="" textlink="">
      <xdr:nvSpPr>
        <xdr:cNvPr id="9716" name="Text Box 1">
          <a:extLst>
            <a:ext uri="{FF2B5EF4-FFF2-40B4-BE49-F238E27FC236}">
              <a16:creationId xmlns:a16="http://schemas.microsoft.com/office/drawing/2014/main" id="{00000000-0008-0000-0A00-0000F4250000}"/>
            </a:ext>
          </a:extLst>
        </xdr:cNvPr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/dbw/SWPP%20Form%20Rate/Lila%20added/AEP%20SPP%20For%20Rate%20Proj%20w%2013%20mth%20rate%20base%20june-07%20-%20June-08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of Revisions"/>
      <sheetName val="Zonal Rates"/>
      <sheetName val="Sch 1 Rates"/>
      <sheetName val="Load WS"/>
      <sheetName val="PSO 2008 TCOS 13 Mnth"/>
      <sheetName val="PSO WsA Rev Credits"/>
      <sheetName val="PSO WsB IPP"/>
      <sheetName val="PSO WsC RB Tax"/>
      <sheetName val="PSO Ws C-1 2008 ADIT Avg Bal"/>
      <sheetName val="PSO WsD Misc Exp"/>
      <sheetName val="PSO WsE Acct 561"/>
      <sheetName val="PSO WsF Inc Prjts"/>
      <sheetName val="PSO WsG BPU"/>
      <sheetName val="PSO WsI Bal Sheet"/>
      <sheetName val="PSO WsI - 1 13 Month Prepaids"/>
      <sheetName val="PSO WsJ Tax"/>
      <sheetName val="PSO WsK CWIP"/>
      <sheetName val="SWP TCOS 2008 13 Month"/>
      <sheetName val="SWP WsA Rev Credits"/>
      <sheetName val="SWP WsB IPP"/>
      <sheetName val="SWP WsC RB Tax"/>
      <sheetName val="SWP WsC-1 ADIT 2008 13 Mth Avg "/>
      <sheetName val="SWP WsD Misc Exp"/>
      <sheetName val="SWP WsE Acct 561"/>
      <sheetName val="SWP WsF Inc Prjts"/>
      <sheetName val="SWP WsG BPU"/>
      <sheetName val="SWP WsI Bal Sheet"/>
      <sheetName val="SWP WsI-1 13 Month Prepaids "/>
      <sheetName val="SWP WsJ Tax"/>
      <sheetName val="SWP WsK CWIP"/>
      <sheetName val="FERC Balance Sheet"/>
      <sheetName val="PSO 13 Month Rate Base"/>
      <sheetName val="SWEPCo 13 Month Rate Base"/>
      <sheetName val="Plant Detail - Book"/>
      <sheetName val="FERC Income Stmt w Details"/>
      <sheetName val="Depreciation Detail"/>
      <sheetName val="Taxes Other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7">
          <cell r="I317" t="str">
            <v>CE</v>
          </cell>
          <cell r="J317">
            <v>6.3272239966292818E-2</v>
          </cell>
        </row>
        <row r="318">
          <cell r="I318" t="str">
            <v>DA</v>
          </cell>
          <cell r="J318">
            <v>1</v>
          </cell>
        </row>
        <row r="319">
          <cell r="I319" t="str">
            <v>GP(b)</v>
          </cell>
          <cell r="J319">
            <v>0.17830317329522682</v>
          </cell>
        </row>
        <row r="320">
          <cell r="I320" t="str">
            <v>GP(p)</v>
          </cell>
          <cell r="J320">
            <v>0.17830317329522682</v>
          </cell>
        </row>
        <row r="321">
          <cell r="I321" t="str">
            <v>GTD(p)</v>
          </cell>
          <cell r="J321">
            <v>0.35796417623075211</v>
          </cell>
        </row>
        <row r="322">
          <cell r="I322" t="str">
            <v>GTD(h)</v>
          </cell>
          <cell r="J322">
            <v>0.35796417623075211</v>
          </cell>
        </row>
        <row r="323">
          <cell r="I323" t="str">
            <v>NA</v>
          </cell>
          <cell r="J323">
            <v>0</v>
          </cell>
        </row>
        <row r="324">
          <cell r="I324" t="str">
            <v>NP(b)</v>
          </cell>
          <cell r="J324">
            <v>0.21388078637862473</v>
          </cell>
        </row>
        <row r="325">
          <cell r="I325" t="str">
            <v>NP(p)</v>
          </cell>
          <cell r="J325">
            <v>0.21388078637862473</v>
          </cell>
        </row>
        <row r="326">
          <cell r="I326" t="str">
            <v>TP</v>
          </cell>
          <cell r="J326">
            <v>0.97384420488446088</v>
          </cell>
        </row>
        <row r="327">
          <cell r="I327" t="str">
            <v>TP1</v>
          </cell>
          <cell r="J327">
            <v>0.98824625472059235</v>
          </cell>
        </row>
        <row r="328">
          <cell r="I328" t="str">
            <v>W/S</v>
          </cell>
          <cell r="J328">
            <v>6.3272239966292818E-2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98"/>
  <sheetViews>
    <sheetView tabSelected="1" topLeftCell="A8" zoomScale="70" zoomScaleNormal="70" zoomScaleSheetLayoutView="75" workbookViewId="0">
      <selection activeCell="V52" sqref="V52"/>
    </sheetView>
  </sheetViews>
  <sheetFormatPr defaultColWidth="8.7109375" defaultRowHeight="12.75" customHeight="1"/>
  <cols>
    <col min="1" max="1" width="7.42578125" style="148" customWidth="1"/>
    <col min="2" max="2" width="7" style="148" bestFit="1" customWidth="1"/>
    <col min="3" max="3" width="43.140625" style="148" customWidth="1"/>
    <col min="4" max="4" width="9.5703125" style="148" customWidth="1"/>
    <col min="5" max="7" width="15.42578125" style="148" bestFit="1" customWidth="1"/>
    <col min="8" max="8" width="2.85546875" style="148" customWidth="1"/>
    <col min="9" max="9" width="13.5703125" style="148" bestFit="1" customWidth="1"/>
    <col min="10" max="10" width="13.28515625" style="148" customWidth="1"/>
    <col min="11" max="11" width="12.85546875" style="148" bestFit="1" customWidth="1"/>
    <col min="12" max="12" width="15.28515625" style="148" customWidth="1"/>
    <col min="13" max="13" width="2.42578125" style="148" customWidth="1"/>
    <col min="14" max="14" width="6.140625" style="148" customWidth="1"/>
    <col min="15" max="15" width="8.7109375" style="148" customWidth="1"/>
    <col min="16" max="16" width="10.7109375" style="148" customWidth="1"/>
    <col min="17" max="17" width="14.42578125" style="148" customWidth="1"/>
    <col min="18" max="18" width="18.7109375" style="148" customWidth="1"/>
    <col min="19" max="19" width="2.42578125" style="148" customWidth="1"/>
    <col min="20" max="20" width="19.140625" style="148" bestFit="1" customWidth="1"/>
    <col min="21" max="21" width="8.7109375" style="148"/>
    <col min="22" max="22" width="13.85546875" style="148" customWidth="1"/>
    <col min="23" max="23" width="8.7109375" style="148"/>
    <col min="24" max="24" width="59.28515625" style="148" bestFit="1" customWidth="1"/>
    <col min="25" max="28" width="8.7109375" style="148"/>
    <col min="29" max="29" width="9.140625" style="148" customWidth="1"/>
    <col min="30" max="16384" width="8.7109375" style="148"/>
  </cols>
  <sheetData>
    <row r="1" spans="1:24" ht="15">
      <c r="H1" s="149" t="s">
        <v>157</v>
      </c>
      <c r="U1" s="629">
        <v>2023</v>
      </c>
    </row>
    <row r="2" spans="1:24" ht="15">
      <c r="H2" s="150" t="s">
        <v>189</v>
      </c>
      <c r="U2" s="629">
        <v>2024</v>
      </c>
    </row>
    <row r="3" spans="1:24" ht="15">
      <c r="H3" s="151" t="str">
        <f>"For Calendar Year "&amp;U1&amp;" and Projected Year "&amp;U2</f>
        <v>For Calendar Year 2023 and Projected Year 2024</v>
      </c>
    </row>
    <row r="4" spans="1:24" ht="15">
      <c r="H4" s="152"/>
    </row>
    <row r="5" spans="1:24" ht="15.75">
      <c r="H5" s="153" t="s">
        <v>158</v>
      </c>
    </row>
    <row r="7" spans="1:24" ht="18">
      <c r="C7" s="154"/>
      <c r="E7" s="154"/>
      <c r="F7" s="154"/>
      <c r="G7" s="154"/>
      <c r="H7" s="154" t="s">
        <v>124</v>
      </c>
      <c r="I7" s="154"/>
      <c r="J7" s="154"/>
      <c r="K7" s="154"/>
      <c r="L7" s="154"/>
    </row>
    <row r="8" spans="1:24">
      <c r="D8" s="155"/>
    </row>
    <row r="9" spans="1:24">
      <c r="A9" s="148" t="s">
        <v>260</v>
      </c>
    </row>
    <row r="12" spans="1:24" ht="22.5" customHeight="1">
      <c r="A12" s="156" t="s">
        <v>159</v>
      </c>
      <c r="B12" s="156" t="s">
        <v>160</v>
      </c>
      <c r="C12" s="157" t="s">
        <v>161</v>
      </c>
      <c r="D12" s="156" t="s">
        <v>162</v>
      </c>
      <c r="E12" s="156" t="s">
        <v>163</v>
      </c>
      <c r="F12" s="156" t="s">
        <v>164</v>
      </c>
      <c r="G12" s="156" t="str">
        <f>"(G) = "&amp;E12&amp;" + "&amp;F12</f>
        <v>(G) = (E) + (F)</v>
      </c>
      <c r="H12" s="156"/>
      <c r="I12" s="156" t="s">
        <v>165</v>
      </c>
      <c r="J12" s="156" t="s">
        <v>166</v>
      </c>
      <c r="K12" s="158" t="s">
        <v>197</v>
      </c>
      <c r="L12" s="156" t="str">
        <f>"(K) = "&amp;J12&amp;" - "&amp;K12</f>
        <v>(K) = (I) - (J)</v>
      </c>
      <c r="M12" s="156"/>
      <c r="N12" s="156" t="s">
        <v>198</v>
      </c>
      <c r="O12" s="156" t="s">
        <v>167</v>
      </c>
      <c r="P12" s="156" t="str">
        <f>"(N) = "&amp;N12&amp;"-"&amp;O12</f>
        <v>(N) = (L)-(M)</v>
      </c>
      <c r="Q12" s="156" t="s">
        <v>199</v>
      </c>
      <c r="R12" s="156" t="str">
        <f>"(P) = "&amp;I12&amp;"+"&amp;LEFT(L12,3)&amp;"+"&amp;LEFT(P12,3)&amp;"+"&amp;Q12</f>
        <v>(P) = (H)+(K)+(N)+(O)</v>
      </c>
      <c r="S12" s="156"/>
      <c r="T12" s="156" t="str">
        <f>"(Q) = "&amp;LEFT(G12,3)&amp;" + "&amp;LEFT(R12,3)</f>
        <v>(Q) = (G) + (P)</v>
      </c>
      <c r="U12" s="156"/>
      <c r="V12" s="159"/>
      <c r="W12" s="159"/>
    </row>
    <row r="13" spans="1:24" ht="16.5" customHeight="1">
      <c r="A13" s="160"/>
      <c r="B13" s="160"/>
      <c r="C13" s="160"/>
      <c r="D13" s="160"/>
      <c r="E13" s="649" t="str">
        <f>"Projected ARR For "&amp;U2&amp;" From WS-F"</f>
        <v>Projected ARR For 2024 From WS-F</v>
      </c>
      <c r="F13" s="649"/>
      <c r="G13" s="649"/>
      <c r="H13" s="160"/>
      <c r="I13" s="161" t="s">
        <v>388</v>
      </c>
      <c r="J13" s="161"/>
      <c r="K13" s="161"/>
      <c r="L13" s="161"/>
      <c r="M13" s="161"/>
      <c r="N13" s="161"/>
      <c r="O13" s="161"/>
      <c r="P13" s="161"/>
      <c r="Q13" s="161"/>
      <c r="R13" s="162"/>
      <c r="S13" s="160"/>
      <c r="T13" s="160"/>
      <c r="U13" s="160"/>
    </row>
    <row r="14" spans="1:24" ht="18" customHeight="1">
      <c r="I14" s="163"/>
      <c r="T14" s="650" t="str">
        <f>"Total ADJUSTED Revenue Requirement Effective
1/1/"&amp;U2&amp;""</f>
        <v>Total ADJUSTED Revenue Requirement Effective
1/1/2024</v>
      </c>
    </row>
    <row r="15" spans="1:24" ht="18" customHeight="1" thickBot="1">
      <c r="D15" s="160"/>
      <c r="E15" s="164"/>
      <c r="F15" s="164"/>
      <c r="G15" s="164"/>
      <c r="I15" s="161" t="s">
        <v>168</v>
      </c>
      <c r="J15" s="165"/>
      <c r="K15" s="165"/>
      <c r="L15" s="165"/>
      <c r="M15" s="166"/>
      <c r="N15" s="161" t="s">
        <v>196</v>
      </c>
      <c r="O15" s="167"/>
      <c r="P15" s="167"/>
      <c r="Q15" s="168"/>
      <c r="T15" s="650"/>
    </row>
    <row r="16" spans="1:24" ht="69" customHeight="1">
      <c r="A16" s="169" t="s">
        <v>179</v>
      </c>
      <c r="B16" s="170" t="s">
        <v>169</v>
      </c>
      <c r="C16" s="170" t="s">
        <v>131</v>
      </c>
      <c r="D16" s="171" t="s">
        <v>170</v>
      </c>
      <c r="E16" s="172" t="s">
        <v>194</v>
      </c>
      <c r="F16" s="173" t="s">
        <v>171</v>
      </c>
      <c r="G16" s="173" t="s">
        <v>172</v>
      </c>
      <c r="I16" s="174" t="s">
        <v>193</v>
      </c>
      <c r="J16" s="630" t="s">
        <v>223</v>
      </c>
      <c r="K16" s="630" t="s">
        <v>213</v>
      </c>
      <c r="L16" s="174" t="s">
        <v>195</v>
      </c>
      <c r="M16" s="174"/>
      <c r="N16" s="175" t="s">
        <v>173</v>
      </c>
      <c r="O16" s="175" t="s">
        <v>174</v>
      </c>
      <c r="P16" s="176" t="s">
        <v>175</v>
      </c>
      <c r="Q16" s="176" t="s">
        <v>176</v>
      </c>
      <c r="R16" s="172" t="s">
        <v>220</v>
      </c>
      <c r="T16" s="650"/>
      <c r="V16" s="177" t="s">
        <v>200</v>
      </c>
      <c r="X16" s="148" t="s">
        <v>381</v>
      </c>
    </row>
    <row r="17" spans="1:24">
      <c r="B17" s="160"/>
      <c r="C17" s="160"/>
      <c r="E17" s="178"/>
      <c r="F17" s="178"/>
      <c r="G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T17" s="178"/>
      <c r="V17" s="179"/>
    </row>
    <row r="18" spans="1:24">
      <c r="A18" s="156" t="s">
        <v>178</v>
      </c>
      <c r="B18" s="156" t="s">
        <v>117</v>
      </c>
      <c r="C18" s="180" t="str">
        <f t="shared" ref="C18:E49" ca="1" si="0">INDIRECT("'"&amp; $A18 &amp; "'!" &amp;C$59)</f>
        <v>Riverside-Glenpool (81-523) Reconductor</v>
      </c>
      <c r="D18" s="181">
        <f t="shared" ca="1" si="0"/>
        <v>2009</v>
      </c>
      <c r="E18" s="619">
        <f ca="1">INDIRECT("'"&amp; $A18 &amp; "'!" &amp;E$59)</f>
        <v>91485.150622743604</v>
      </c>
      <c r="F18" s="183">
        <f t="shared" ref="F18:F50" ca="1" si="1">INDIRECT("'"&amp; $A18 &amp; "'!" &amp;F$59)</f>
        <v>0</v>
      </c>
      <c r="G18" s="183">
        <f t="shared" ref="G18:G27" ca="1" si="2">+E18+F18</f>
        <v>91485.150622743604</v>
      </c>
      <c r="H18" s="184"/>
      <c r="I18" s="185">
        <v>3487.7599528089777</v>
      </c>
      <c r="J18" s="185">
        <v>85990.398999426339</v>
      </c>
      <c r="K18" s="185">
        <v>91256.790468430554</v>
      </c>
      <c r="L18" s="182">
        <f t="shared" ref="L18:L27" si="3">+J18-K18</f>
        <v>-5266.3914690042147</v>
      </c>
      <c r="M18" s="182"/>
      <c r="N18" s="183">
        <v>0</v>
      </c>
      <c r="O18" s="183">
        <v>0</v>
      </c>
      <c r="P18" s="183">
        <f t="shared" ref="P18:P26" si="4">+N18-O18</f>
        <v>0</v>
      </c>
      <c r="Q18" s="622">
        <f>+V18/$V$52 * $Q$52</f>
        <v>-243.85537678949984</v>
      </c>
      <c r="R18" s="186">
        <f t="shared" ref="R18:R27" si="5">I18+L18+P18+Q18</f>
        <v>-2022.4868929847369</v>
      </c>
      <c r="S18" s="186"/>
      <c r="T18" s="187">
        <f t="shared" ref="T18:T27" ca="1" si="6">+G18+R18</f>
        <v>89462.66372975886</v>
      </c>
      <c r="V18" s="188">
        <f t="shared" ref="V18:V27" si="7">+I18+L18+P18</f>
        <v>-1778.6315161952371</v>
      </c>
      <c r="W18" s="159" t="str">
        <f>A18</f>
        <v>P.001</v>
      </c>
      <c r="X18" s="148" t="s">
        <v>391</v>
      </c>
    </row>
    <row r="19" spans="1:24" ht="25.5">
      <c r="A19" s="156" t="s">
        <v>180</v>
      </c>
      <c r="B19" s="156" t="s">
        <v>117</v>
      </c>
      <c r="C19" s="180" t="str">
        <f t="shared" ca="1" si="0"/>
        <v>Craig Jct. to Broken Bow Dam 138 Rebuild (7.7mi)</v>
      </c>
      <c r="D19" s="181">
        <f t="shared" ca="1" si="0"/>
        <v>2009</v>
      </c>
      <c r="E19" s="619">
        <f t="shared" ca="1" si="0"/>
        <v>474693.80028916837</v>
      </c>
      <c r="F19" s="183">
        <f t="shared" ca="1" si="1"/>
        <v>0</v>
      </c>
      <c r="G19" s="183">
        <f t="shared" ca="1" si="2"/>
        <v>474693.80028916837</v>
      </c>
      <c r="H19" s="184"/>
      <c r="I19" s="185">
        <v>22420.990768281859</v>
      </c>
      <c r="J19" s="185">
        <v>450370.8556718303</v>
      </c>
      <c r="K19" s="185">
        <v>477953.34464497812</v>
      </c>
      <c r="L19" s="182">
        <f t="shared" si="3"/>
        <v>-27582.488973147818</v>
      </c>
      <c r="M19" s="182"/>
      <c r="N19" s="183">
        <v>0</v>
      </c>
      <c r="O19" s="183">
        <v>0</v>
      </c>
      <c r="P19" s="183">
        <f t="shared" si="4"/>
        <v>0</v>
      </c>
      <c r="Q19" s="622">
        <f>+V19/$V$52 * $Q$52</f>
        <v>-707.6559017903711</v>
      </c>
      <c r="R19" s="186">
        <f t="shared" si="5"/>
        <v>-5869.1541066563295</v>
      </c>
      <c r="S19" s="186"/>
      <c r="T19" s="189">
        <f t="shared" ca="1" si="6"/>
        <v>468824.64618251205</v>
      </c>
      <c r="V19" s="188">
        <f t="shared" si="7"/>
        <v>-5161.4982048659585</v>
      </c>
      <c r="W19" s="159" t="str">
        <f t="shared" ref="W19:W25" si="8">A19</f>
        <v>P.002</v>
      </c>
      <c r="X19" s="148" t="s">
        <v>392</v>
      </c>
    </row>
    <row r="20" spans="1:24" ht="25.5">
      <c r="A20" s="156" t="s">
        <v>181</v>
      </c>
      <c r="B20" s="156" t="s">
        <v>117</v>
      </c>
      <c r="C20" s="190" t="str">
        <f t="shared" ca="1" si="0"/>
        <v>WFEC New 138 kV Ties: Sayre to Erick (WFEC) Line &amp; Atoka and Tupelo station work</v>
      </c>
      <c r="D20" s="181">
        <f t="shared" ca="1" si="0"/>
        <v>2009</v>
      </c>
      <c r="E20" s="619">
        <f t="shared" ca="1" si="0"/>
        <v>1168640.8009077092</v>
      </c>
      <c r="F20" s="183">
        <f t="shared" ca="1" si="1"/>
        <v>0</v>
      </c>
      <c r="G20" s="183">
        <f t="shared" ca="1" si="2"/>
        <v>1168640.8009077092</v>
      </c>
      <c r="H20" s="184"/>
      <c r="I20" s="185">
        <v>50132.925547759747</v>
      </c>
      <c r="J20" s="185">
        <v>1110409.9943447986</v>
      </c>
      <c r="K20" s="185">
        <v>1178415.8855763709</v>
      </c>
      <c r="L20" s="182">
        <f t="shared" si="3"/>
        <v>-68005.891231572255</v>
      </c>
      <c r="M20" s="182"/>
      <c r="N20" s="183">
        <v>0</v>
      </c>
      <c r="O20" s="183">
        <v>0</v>
      </c>
      <c r="P20" s="183">
        <f t="shared" si="4"/>
        <v>0</v>
      </c>
      <c r="Q20" s="622">
        <f>+V20/$V$52 * $Q$52</f>
        <v>-2450.4337978308286</v>
      </c>
      <c r="R20" s="186">
        <f t="shared" si="5"/>
        <v>-20323.399481643337</v>
      </c>
      <c r="S20" s="186"/>
      <c r="T20" s="189">
        <f t="shared" ca="1" si="6"/>
        <v>1148317.4014260659</v>
      </c>
      <c r="V20" s="188">
        <f t="shared" si="7"/>
        <v>-17872.965683812508</v>
      </c>
      <c r="W20" s="159" t="str">
        <f t="shared" si="8"/>
        <v>P.003</v>
      </c>
      <c r="X20" s="148" t="s">
        <v>393</v>
      </c>
    </row>
    <row r="21" spans="1:24" ht="25.5">
      <c r="A21" s="156" t="s">
        <v>182</v>
      </c>
      <c r="B21" s="156" t="s">
        <v>117</v>
      </c>
      <c r="C21" s="190" t="str">
        <f t="shared" ca="1" si="0"/>
        <v>Cache-Snyder to Altus Jct. 138 kV line (w/2 ring bus stations)</v>
      </c>
      <c r="D21" s="181">
        <f t="shared" ca="1" si="0"/>
        <v>2008</v>
      </c>
      <c r="E21" s="619">
        <f t="shared" ca="1" si="0"/>
        <v>1456525.2</v>
      </c>
      <c r="F21" s="183">
        <f t="shared" ca="1" si="1"/>
        <v>0</v>
      </c>
      <c r="G21" s="183">
        <f t="shared" ca="1" si="2"/>
        <v>1456525.2</v>
      </c>
      <c r="H21" s="184"/>
      <c r="I21" s="185">
        <v>52358.355810615001</v>
      </c>
      <c r="J21" s="185">
        <v>1369907.5933178212</v>
      </c>
      <c r="K21" s="185">
        <v>1453806.1418385834</v>
      </c>
      <c r="L21" s="182">
        <f t="shared" si="3"/>
        <v>-83898.548520762241</v>
      </c>
      <c r="M21" s="182"/>
      <c r="N21" s="183">
        <v>0</v>
      </c>
      <c r="O21" s="183">
        <v>0</v>
      </c>
      <c r="P21" s="183">
        <f t="shared" si="4"/>
        <v>0</v>
      </c>
      <c r="Q21" s="622">
        <f>+V21/$V$52 * $Q$52</f>
        <v>-4324.2490124087835</v>
      </c>
      <c r="R21" s="186">
        <f t="shared" si="5"/>
        <v>-35864.441722556025</v>
      </c>
      <c r="S21" s="186"/>
      <c r="T21" s="189">
        <f t="shared" ca="1" si="6"/>
        <v>1420660.7582774439</v>
      </c>
      <c r="V21" s="188">
        <f t="shared" si="7"/>
        <v>-31540.192710147239</v>
      </c>
      <c r="W21" s="159" t="str">
        <f t="shared" si="8"/>
        <v>P.004</v>
      </c>
      <c r="X21" s="148" t="s">
        <v>394</v>
      </c>
    </row>
    <row r="22" spans="1:24">
      <c r="A22" s="158" t="s">
        <v>183</v>
      </c>
      <c r="B22" s="156" t="s">
        <v>117</v>
      </c>
      <c r="C22" s="190" t="str">
        <f t="shared" ca="1" si="0"/>
        <v>Catoosa 138 kV Device (Cap. Bank)</v>
      </c>
      <c r="D22" s="181">
        <f t="shared" ca="1" si="0"/>
        <v>2006</v>
      </c>
      <c r="E22" s="619">
        <f t="shared" ca="1" si="0"/>
        <v>36951.010609631776</v>
      </c>
      <c r="F22" s="183">
        <f t="shared" ca="1" si="1"/>
        <v>0</v>
      </c>
      <c r="G22" s="183">
        <f t="shared" ca="1" si="2"/>
        <v>36951.010609631776</v>
      </c>
      <c r="H22" s="184"/>
      <c r="I22" s="185">
        <v>1659.9161271064077</v>
      </c>
      <c r="J22" s="185">
        <v>34939.525615278893</v>
      </c>
      <c r="K22" s="185">
        <v>37079.360082526648</v>
      </c>
      <c r="L22" s="182">
        <f t="shared" si="3"/>
        <v>-2139.8344672477542</v>
      </c>
      <c r="M22" s="182"/>
      <c r="N22" s="183">
        <v>0</v>
      </c>
      <c r="O22" s="183">
        <v>0</v>
      </c>
      <c r="P22" s="183">
        <f t="shared" si="4"/>
        <v>0</v>
      </c>
      <c r="Q22" s="622">
        <f t="shared" ref="Q22:Q44" si="9">+V22/$V$52 * $Q$52</f>
        <v>-65.798152454706184</v>
      </c>
      <c r="R22" s="186">
        <f t="shared" si="5"/>
        <v>-545.71649259605272</v>
      </c>
      <c r="S22" s="186"/>
      <c r="T22" s="189">
        <f t="shared" ca="1" si="6"/>
        <v>36405.294117035723</v>
      </c>
      <c r="V22" s="188">
        <f t="shared" si="7"/>
        <v>-479.91834014134656</v>
      </c>
      <c r="W22" s="159" t="str">
        <f t="shared" si="8"/>
        <v>P.005</v>
      </c>
      <c r="X22" s="148" t="s">
        <v>395</v>
      </c>
    </row>
    <row r="23" spans="1:24">
      <c r="A23" s="156" t="s">
        <v>184</v>
      </c>
      <c r="B23" s="156" t="s">
        <v>117</v>
      </c>
      <c r="C23" s="190" t="str">
        <f t="shared" ca="1" si="0"/>
        <v>Pryor Junction 138/69 Upgrade Transf</v>
      </c>
      <c r="D23" s="181">
        <f t="shared" ca="1" si="0"/>
        <v>2008</v>
      </c>
      <c r="E23" s="619">
        <f t="shared" ca="1" si="0"/>
        <v>151239.69603131246</v>
      </c>
      <c r="F23" s="183">
        <f t="shared" ca="1" si="1"/>
        <v>0</v>
      </c>
      <c r="G23" s="183">
        <f t="shared" ca="1" si="2"/>
        <v>151239.69603131246</v>
      </c>
      <c r="H23" s="184"/>
      <c r="I23" s="185">
        <v>6482.8064692103071</v>
      </c>
      <c r="J23" s="185">
        <v>142800.25974648079</v>
      </c>
      <c r="K23" s="185">
        <v>151545.91133608989</v>
      </c>
      <c r="L23" s="182">
        <f t="shared" si="3"/>
        <v>-8745.6515896091005</v>
      </c>
      <c r="M23" s="182"/>
      <c r="N23" s="183">
        <v>0</v>
      </c>
      <c r="O23" s="183">
        <v>0</v>
      </c>
      <c r="P23" s="183">
        <f t="shared" si="4"/>
        <v>0</v>
      </c>
      <c r="Q23" s="622">
        <f t="shared" si="9"/>
        <v>-310.24242201191163</v>
      </c>
      <c r="R23" s="186">
        <f t="shared" si="5"/>
        <v>-2573.0875424107048</v>
      </c>
      <c r="S23" s="186"/>
      <c r="T23" s="189">
        <f t="shared" ca="1" si="6"/>
        <v>148666.60848890175</v>
      </c>
      <c r="V23" s="188">
        <f t="shared" si="7"/>
        <v>-2262.8451203987934</v>
      </c>
      <c r="W23" s="159" t="str">
        <f t="shared" si="8"/>
        <v>P.006</v>
      </c>
      <c r="X23" s="148" t="s">
        <v>396</v>
      </c>
    </row>
    <row r="24" spans="1:24">
      <c r="A24" s="156" t="s">
        <v>185</v>
      </c>
      <c r="B24" s="156" t="s">
        <v>117</v>
      </c>
      <c r="C24" s="190" t="str">
        <f t="shared" ca="1" si="0"/>
        <v>Elk City - Elk City 69 kV line (CT Upgrades)*</v>
      </c>
      <c r="D24" s="181">
        <f t="shared" ca="1" si="0"/>
        <v>2007</v>
      </c>
      <c r="E24" s="619">
        <f t="shared" ca="1" si="0"/>
        <v>8356.3495367299729</v>
      </c>
      <c r="F24" s="183">
        <f t="shared" ca="1" si="1"/>
        <v>0</v>
      </c>
      <c r="G24" s="183">
        <f t="shared" ca="1" si="2"/>
        <v>8356.3495367299729</v>
      </c>
      <c r="H24" s="184"/>
      <c r="I24" s="185">
        <v>340.84427494481133</v>
      </c>
      <c r="J24" s="185">
        <v>7871.3681299434129</v>
      </c>
      <c r="K24" s="185">
        <v>8353.4417852732622</v>
      </c>
      <c r="L24" s="182">
        <f t="shared" si="3"/>
        <v>-482.07365532984932</v>
      </c>
      <c r="M24" s="182"/>
      <c r="N24" s="183">
        <v>0</v>
      </c>
      <c r="O24" s="183">
        <v>0</v>
      </c>
      <c r="P24" s="183">
        <f t="shared" si="4"/>
        <v>0</v>
      </c>
      <c r="Q24" s="622">
        <f t="shared" si="9"/>
        <v>-19.362944743727724</v>
      </c>
      <c r="R24" s="186">
        <f t="shared" si="5"/>
        <v>-160.59232512876571</v>
      </c>
      <c r="S24" s="191" t="s">
        <v>224</v>
      </c>
      <c r="T24" s="189">
        <f t="shared" ca="1" si="6"/>
        <v>8195.757211601207</v>
      </c>
      <c r="V24" s="188">
        <f t="shared" si="7"/>
        <v>-141.22938038503798</v>
      </c>
      <c r="W24" s="159" t="str">
        <f t="shared" si="8"/>
        <v>P.007</v>
      </c>
      <c r="X24" s="148" t="s">
        <v>397</v>
      </c>
    </row>
    <row r="25" spans="1:24" ht="25.5">
      <c r="A25" s="156" t="s">
        <v>186</v>
      </c>
      <c r="B25" s="156" t="s">
        <v>117</v>
      </c>
      <c r="C25" s="190" t="str">
        <f t="shared" ca="1" si="0"/>
        <v>Weleetka &amp; Okmulgee Wavetrap replacement 81-805*</v>
      </c>
      <c r="D25" s="181">
        <f t="shared" ca="1" si="0"/>
        <v>2006</v>
      </c>
      <c r="E25" s="619">
        <f t="shared" ca="1" si="0"/>
        <v>5356.7091396474525</v>
      </c>
      <c r="F25" s="183">
        <f t="shared" ca="1" si="1"/>
        <v>0</v>
      </c>
      <c r="G25" s="183">
        <f t="shared" ca="1" si="2"/>
        <v>5356.7091396474525</v>
      </c>
      <c r="H25" s="184"/>
      <c r="I25" s="185">
        <v>298.76022515581008</v>
      </c>
      <c r="J25" s="185">
        <v>5122.4098353883373</v>
      </c>
      <c r="K25" s="185">
        <v>5436.126433656621</v>
      </c>
      <c r="L25" s="182">
        <f t="shared" si="3"/>
        <v>-313.71659826828363</v>
      </c>
      <c r="M25" s="182"/>
      <c r="N25" s="183">
        <v>0</v>
      </c>
      <c r="O25" s="183">
        <v>0</v>
      </c>
      <c r="P25" s="183">
        <f t="shared" si="4"/>
        <v>0</v>
      </c>
      <c r="Q25" s="622">
        <f t="shared" si="9"/>
        <v>-2.0505607640128187</v>
      </c>
      <c r="R25" s="186">
        <f t="shared" si="5"/>
        <v>-17.006933876486375</v>
      </c>
      <c r="S25" s="191" t="s">
        <v>224</v>
      </c>
      <c r="T25" s="189">
        <f t="shared" ca="1" si="6"/>
        <v>5339.7022057709664</v>
      </c>
      <c r="V25" s="188">
        <f>+I25+L25+P25</f>
        <v>-14.956373112473557</v>
      </c>
      <c r="W25" s="159" t="str">
        <f t="shared" si="8"/>
        <v>P.008</v>
      </c>
      <c r="X25" s="148" t="s">
        <v>398</v>
      </c>
    </row>
    <row r="26" spans="1:24">
      <c r="A26" s="156" t="s">
        <v>187</v>
      </c>
      <c r="B26" s="156" t="s">
        <v>117</v>
      </c>
      <c r="C26" s="190" t="str">
        <f t="shared" ca="1" si="0"/>
        <v>Tulsa Southeast Upgrade (repl switches)*</v>
      </c>
      <c r="D26" s="181">
        <f t="shared" ca="1" si="0"/>
        <v>2007</v>
      </c>
      <c r="E26" s="619">
        <f t="shared" ca="1" si="0"/>
        <v>7082.9634280961545</v>
      </c>
      <c r="F26" s="183">
        <f t="shared" ca="1" si="1"/>
        <v>0</v>
      </c>
      <c r="G26" s="183">
        <f t="shared" ca="1" si="2"/>
        <v>7082.9634280961545</v>
      </c>
      <c r="H26" s="184"/>
      <c r="I26" s="185">
        <v>385.28543261835603</v>
      </c>
      <c r="J26" s="185">
        <v>6766.2809754238278</v>
      </c>
      <c r="K26" s="185">
        <v>7180.6747312441184</v>
      </c>
      <c r="L26" s="182">
        <f t="shared" si="3"/>
        <v>-414.39375582029061</v>
      </c>
      <c r="M26" s="182"/>
      <c r="N26" s="183">
        <v>0</v>
      </c>
      <c r="O26" s="183">
        <v>0</v>
      </c>
      <c r="P26" s="183">
        <f t="shared" si="4"/>
        <v>0</v>
      </c>
      <c r="Q26" s="622">
        <f t="shared" si="9"/>
        <v>-3.9908328720624895</v>
      </c>
      <c r="R26" s="186">
        <f t="shared" si="5"/>
        <v>-33.099156073997072</v>
      </c>
      <c r="S26" s="191" t="s">
        <v>224</v>
      </c>
      <c r="T26" s="189">
        <f t="shared" ca="1" si="6"/>
        <v>7049.8642720221578</v>
      </c>
      <c r="V26" s="188">
        <f t="shared" si="7"/>
        <v>-29.108323201934581</v>
      </c>
      <c r="W26" s="159" t="str">
        <f t="shared" ref="W26:W31" si="10">A26</f>
        <v>P.009</v>
      </c>
      <c r="X26" s="148" t="s">
        <v>399</v>
      </c>
    </row>
    <row r="27" spans="1:24">
      <c r="A27" s="156" t="s">
        <v>222</v>
      </c>
      <c r="B27" s="156" t="s">
        <v>117</v>
      </c>
      <c r="C27" s="192" t="str">
        <f t="shared" ca="1" si="0"/>
        <v>Wavetrap Clinton City-Foss Tap 69kV Ckt 1*</v>
      </c>
      <c r="D27" s="181">
        <f t="shared" ca="1" si="0"/>
        <v>2010</v>
      </c>
      <c r="E27" s="619">
        <f t="shared" ca="1" si="0"/>
        <v>10009.21052631579</v>
      </c>
      <c r="F27" s="183">
        <f t="shared" ca="1" si="1"/>
        <v>0</v>
      </c>
      <c r="G27" s="183">
        <f t="shared" ca="1" si="2"/>
        <v>10009.21052631579</v>
      </c>
      <c r="H27" s="184"/>
      <c r="I27" s="185">
        <v>456.52009570854716</v>
      </c>
      <c r="J27" s="185">
        <v>9484.8685550534865</v>
      </c>
      <c r="K27" s="185">
        <v>10065.759345469442</v>
      </c>
      <c r="L27" s="182">
        <f t="shared" si="3"/>
        <v>-580.89079041595505</v>
      </c>
      <c r="M27" s="182"/>
      <c r="N27" s="183">
        <v>0</v>
      </c>
      <c r="O27" s="183">
        <v>0</v>
      </c>
      <c r="P27" s="183">
        <f t="shared" ref="P27:P33" si="11">+N27-O27</f>
        <v>0</v>
      </c>
      <c r="Q27" s="622">
        <f t="shared" si="9"/>
        <v>-17.051571583710601</v>
      </c>
      <c r="R27" s="186">
        <f t="shared" si="5"/>
        <v>-141.42226629111849</v>
      </c>
      <c r="S27" s="186"/>
      <c r="T27" s="189">
        <f t="shared" ca="1" si="6"/>
        <v>9867.7882600246721</v>
      </c>
      <c r="V27" s="188">
        <f t="shared" si="7"/>
        <v>-124.37069470740789</v>
      </c>
      <c r="W27" s="159" t="str">
        <f t="shared" si="10"/>
        <v>P.010</v>
      </c>
      <c r="X27" s="148" t="s">
        <v>400</v>
      </c>
    </row>
    <row r="28" spans="1:24">
      <c r="A28" s="158" t="s">
        <v>230</v>
      </c>
      <c r="B28" s="156" t="s">
        <v>117</v>
      </c>
      <c r="C28" s="192" t="str">
        <f t="shared" ca="1" si="0"/>
        <v>Bartlesville SE to Coffeyville T Rebuild</v>
      </c>
      <c r="D28" s="181">
        <f t="shared" ca="1" si="0"/>
        <v>2011</v>
      </c>
      <c r="E28" s="619">
        <f t="shared" ca="1" si="0"/>
        <v>148587.99</v>
      </c>
      <c r="F28" s="183">
        <f t="shared" ca="1" si="1"/>
        <v>0</v>
      </c>
      <c r="G28" s="183">
        <f t="shared" ref="G28:G33" ca="1" si="12">+E28+F28</f>
        <v>148587.99</v>
      </c>
      <c r="H28" s="184"/>
      <c r="I28" s="185">
        <v>18387.246648857108</v>
      </c>
      <c r="J28" s="185">
        <v>140400.76847352801</v>
      </c>
      <c r="K28" s="185">
        <v>148999.46574594741</v>
      </c>
      <c r="L28" s="182">
        <f t="shared" ref="L28:L33" si="13">+J28-K28</f>
        <v>-8598.6972724194056</v>
      </c>
      <c r="M28" s="182"/>
      <c r="N28" s="183">
        <v>0</v>
      </c>
      <c r="O28" s="183">
        <v>0</v>
      </c>
      <c r="P28" s="183">
        <f t="shared" si="11"/>
        <v>0</v>
      </c>
      <c r="Q28" s="622">
        <f t="shared" si="9"/>
        <v>1342.0376141315512</v>
      </c>
      <c r="R28" s="186">
        <f t="shared" ref="R28:R33" si="14">I28+L28+P28+Q28</f>
        <v>11130.586990569254</v>
      </c>
      <c r="S28" s="186"/>
      <c r="T28" s="189">
        <f t="shared" ref="T28:T33" ca="1" si="15">+G28+R28</f>
        <v>159718.57699056924</v>
      </c>
      <c r="V28" s="188">
        <f t="shared" ref="V28:V33" si="16">+I28+L28+P28</f>
        <v>9788.5493764377024</v>
      </c>
      <c r="W28" s="159" t="str">
        <f t="shared" si="10"/>
        <v>P.011</v>
      </c>
      <c r="X28" s="148" t="s">
        <v>401</v>
      </c>
    </row>
    <row r="29" spans="1:24" ht="25.5">
      <c r="A29" s="158" t="s">
        <v>238</v>
      </c>
      <c r="B29" s="156" t="s">
        <v>117</v>
      </c>
      <c r="C29" s="192" t="str">
        <f t="shared" ca="1" si="0"/>
        <v>Canadian River - McAlester City 138 kV Line Conversion</v>
      </c>
      <c r="D29" s="181">
        <f t="shared" ca="1" si="0"/>
        <v>2013</v>
      </c>
      <c r="E29" s="619">
        <f t="shared" ca="1" si="0"/>
        <v>385776.25641025638</v>
      </c>
      <c r="F29" s="183">
        <f t="shared" ca="1" si="1"/>
        <v>0</v>
      </c>
      <c r="G29" s="183">
        <f t="shared" ca="1" si="12"/>
        <v>385776.25641025638</v>
      </c>
      <c r="H29" s="184"/>
      <c r="I29" s="185">
        <v>12991.438589034951</v>
      </c>
      <c r="J29" s="185">
        <v>342593.61746317265</v>
      </c>
      <c r="K29" s="185">
        <v>363575.40293384343</v>
      </c>
      <c r="L29" s="182">
        <f t="shared" si="13"/>
        <v>-20981.785470670788</v>
      </c>
      <c r="M29" s="182"/>
      <c r="N29" s="183">
        <v>0</v>
      </c>
      <c r="O29" s="183">
        <v>0</v>
      </c>
      <c r="P29" s="183">
        <f t="shared" si="11"/>
        <v>0</v>
      </c>
      <c r="Q29" s="622">
        <f t="shared" si="9"/>
        <v>-1095.4990012030294</v>
      </c>
      <c r="R29" s="186">
        <f t="shared" si="14"/>
        <v>-9085.8458828388648</v>
      </c>
      <c r="S29" s="186"/>
      <c r="T29" s="189">
        <f t="shared" ca="1" si="15"/>
        <v>376690.41052741749</v>
      </c>
      <c r="V29" s="188">
        <f t="shared" si="16"/>
        <v>-7990.3468816358363</v>
      </c>
      <c r="W29" s="159" t="str">
        <f t="shared" si="10"/>
        <v>P.012</v>
      </c>
      <c r="X29" s="148" t="s">
        <v>402</v>
      </c>
    </row>
    <row r="30" spans="1:24" ht="15.75" customHeight="1">
      <c r="A30" s="158" t="s">
        <v>240</v>
      </c>
      <c r="B30" s="156" t="s">
        <v>117</v>
      </c>
      <c r="C30" s="192" t="str">
        <f t="shared" ca="1" si="0"/>
        <v>CoffeyvilleT to Dearing 138 kv Rebuild - 1.1 mi*</v>
      </c>
      <c r="D30" s="181">
        <f t="shared" ca="1" si="0"/>
        <v>2010</v>
      </c>
      <c r="E30" s="619">
        <f t="shared" ca="1" si="0"/>
        <v>2395.5</v>
      </c>
      <c r="F30" s="183">
        <f t="shared" ca="1" si="1"/>
        <v>0</v>
      </c>
      <c r="G30" s="183">
        <f t="shared" ca="1" si="12"/>
        <v>2395.5</v>
      </c>
      <c r="H30" s="184"/>
      <c r="I30" s="185">
        <v>96.548426734149416</v>
      </c>
      <c r="J30" s="185">
        <v>2261.279832256429</v>
      </c>
      <c r="K30" s="185">
        <v>2399.7695352488063</v>
      </c>
      <c r="L30" s="182">
        <f t="shared" si="13"/>
        <v>-138.48970299237726</v>
      </c>
      <c r="M30" s="182"/>
      <c r="N30" s="183">
        <v>0</v>
      </c>
      <c r="O30" s="183">
        <v>0</v>
      </c>
      <c r="P30" s="183">
        <f t="shared" si="11"/>
        <v>0</v>
      </c>
      <c r="Q30" s="622">
        <f t="shared" si="9"/>
        <v>-5.7502667819926279</v>
      </c>
      <c r="R30" s="186">
        <f t="shared" si="14"/>
        <v>-47.691543040220473</v>
      </c>
      <c r="S30" s="186"/>
      <c r="T30" s="189">
        <f t="shared" ca="1" si="15"/>
        <v>2347.8084569597795</v>
      </c>
      <c r="V30" s="188">
        <f t="shared" si="16"/>
        <v>-41.941276258227845</v>
      </c>
      <c r="W30" s="159" t="str">
        <f t="shared" si="10"/>
        <v>P.013</v>
      </c>
      <c r="X30" s="148" t="s">
        <v>403</v>
      </c>
    </row>
    <row r="31" spans="1:24" ht="15.75" customHeight="1">
      <c r="A31" s="193" t="s">
        <v>243</v>
      </c>
      <c r="B31" s="156" t="s">
        <v>117</v>
      </c>
      <c r="C31" s="192" t="str">
        <f t="shared" ca="1" si="0"/>
        <v>Ashdown West - Craig Junction</v>
      </c>
      <c r="D31" s="181">
        <f t="shared" ca="1" si="0"/>
        <v>2013</v>
      </c>
      <c r="E31" s="619">
        <f t="shared" ca="1" si="0"/>
        <v>104676.36842105263</v>
      </c>
      <c r="F31" s="183">
        <f t="shared" ca="1" si="1"/>
        <v>0</v>
      </c>
      <c r="G31" s="183">
        <f t="shared" ca="1" si="12"/>
        <v>104676.36842105263</v>
      </c>
      <c r="H31" s="184"/>
      <c r="I31" s="185">
        <v>13013.502787736157</v>
      </c>
      <c r="J31" s="185">
        <v>107567.37709689827</v>
      </c>
      <c r="K31" s="185">
        <v>114155.22787649572</v>
      </c>
      <c r="L31" s="182">
        <f t="shared" si="13"/>
        <v>-6587.8507795974438</v>
      </c>
      <c r="M31" s="182"/>
      <c r="N31" s="183">
        <v>0</v>
      </c>
      <c r="O31" s="183">
        <v>0</v>
      </c>
      <c r="P31" s="183">
        <f t="shared" si="11"/>
        <v>0</v>
      </c>
      <c r="Q31" s="622">
        <f t="shared" si="9"/>
        <v>880.97493904458247</v>
      </c>
      <c r="R31" s="186">
        <f t="shared" si="14"/>
        <v>7306.6269471832957</v>
      </c>
      <c r="S31" s="186"/>
      <c r="T31" s="189">
        <f t="shared" ca="1" si="15"/>
        <v>111982.99536823592</v>
      </c>
      <c r="V31" s="188">
        <f t="shared" si="16"/>
        <v>6425.6520081387134</v>
      </c>
      <c r="W31" s="159" t="str">
        <f t="shared" si="10"/>
        <v>P.014</v>
      </c>
      <c r="X31" s="148" t="s">
        <v>404</v>
      </c>
    </row>
    <row r="32" spans="1:24" ht="25.5" customHeight="1">
      <c r="A32" s="193" t="s">
        <v>256</v>
      </c>
      <c r="B32" s="156" t="s">
        <v>117</v>
      </c>
      <c r="C32" s="192" t="str">
        <f t="shared" ca="1" si="0"/>
        <v>Locust Grove to Lone Star 115 kV Rebuild 2.1 miles</v>
      </c>
      <c r="D32" s="181">
        <f t="shared" ca="1" si="0"/>
        <v>2014</v>
      </c>
      <c r="E32" s="619">
        <f t="shared" ca="1" si="0"/>
        <v>251632.81578947368</v>
      </c>
      <c r="F32" s="183">
        <f t="shared" ca="1" si="1"/>
        <v>0</v>
      </c>
      <c r="G32" s="183">
        <f t="shared" ca="1" si="12"/>
        <v>251632.81578947368</v>
      </c>
      <c r="H32" s="184"/>
      <c r="I32" s="185">
        <v>10341.269419176271</v>
      </c>
      <c r="J32" s="185">
        <v>237579.31565869306</v>
      </c>
      <c r="K32" s="185">
        <v>252129.61075855821</v>
      </c>
      <c r="L32" s="182">
        <f t="shared" si="13"/>
        <v>-14550.29509986515</v>
      </c>
      <c r="M32" s="182"/>
      <c r="N32" s="183">
        <v>0</v>
      </c>
      <c r="O32" s="183">
        <v>0</v>
      </c>
      <c r="P32" s="183">
        <f t="shared" si="11"/>
        <v>0</v>
      </c>
      <c r="Q32" s="622">
        <f t="shared" si="9"/>
        <v>-577.06924336788961</v>
      </c>
      <c r="R32" s="186">
        <f t="shared" si="14"/>
        <v>-4786.0949240567688</v>
      </c>
      <c r="S32" s="186"/>
      <c r="T32" s="189">
        <f t="shared" ca="1" si="15"/>
        <v>246846.72086541692</v>
      </c>
      <c r="V32" s="188">
        <f t="shared" si="16"/>
        <v>-4209.0256806888792</v>
      </c>
      <c r="W32" s="159" t="str">
        <f t="shared" ref="W32:W39" si="17">A32</f>
        <v>P.015</v>
      </c>
      <c r="X32" s="148" t="s">
        <v>405</v>
      </c>
    </row>
    <row r="33" spans="1:24" ht="15.75" customHeight="1">
      <c r="A33" s="193" t="s">
        <v>257</v>
      </c>
      <c r="B33" s="156" t="s">
        <v>117</v>
      </c>
      <c r="C33" s="192" t="str">
        <f t="shared" ca="1" si="0"/>
        <v>Cornville Station Conversion</v>
      </c>
      <c r="D33" s="181">
        <f t="shared" ca="1" si="0"/>
        <v>2014</v>
      </c>
      <c r="E33" s="619">
        <f t="shared" ca="1" si="0"/>
        <v>575530.89578947367</v>
      </c>
      <c r="F33" s="183">
        <f t="shared" ca="1" si="1"/>
        <v>0</v>
      </c>
      <c r="G33" s="183">
        <f t="shared" ca="1" si="12"/>
        <v>575530.89578947367</v>
      </c>
      <c r="H33" s="184"/>
      <c r="I33" s="185">
        <v>23790.459383283742</v>
      </c>
      <c r="J33" s="185">
        <v>543635.0617584798</v>
      </c>
      <c r="K33" s="185">
        <v>576929.41885892244</v>
      </c>
      <c r="L33" s="182">
        <f t="shared" si="13"/>
        <v>-33294.357100442634</v>
      </c>
      <c r="M33" s="182"/>
      <c r="N33" s="183">
        <v>0</v>
      </c>
      <c r="O33" s="183">
        <v>0</v>
      </c>
      <c r="P33" s="183">
        <f t="shared" si="11"/>
        <v>0</v>
      </c>
      <c r="Q33" s="622">
        <f t="shared" si="9"/>
        <v>-1303.0110720990131</v>
      </c>
      <c r="R33" s="186">
        <f t="shared" si="14"/>
        <v>-10806.908789257905</v>
      </c>
      <c r="S33" s="186"/>
      <c r="T33" s="189">
        <f t="shared" ca="1" si="15"/>
        <v>564723.9870002158</v>
      </c>
      <c r="V33" s="188">
        <f t="shared" si="16"/>
        <v>-9503.8977171588922</v>
      </c>
      <c r="W33" s="159" t="str">
        <f t="shared" si="17"/>
        <v>P.016</v>
      </c>
      <c r="X33" s="148" t="s">
        <v>406</v>
      </c>
    </row>
    <row r="34" spans="1:24">
      <c r="A34" s="193" t="s">
        <v>267</v>
      </c>
      <c r="B34" s="156" t="s">
        <v>117</v>
      </c>
      <c r="C34" s="192" t="str">
        <f t="shared" ca="1" si="0"/>
        <v>Grady Customer Connection</v>
      </c>
      <c r="D34" s="181">
        <f t="shared" ca="1" si="0"/>
        <v>2015</v>
      </c>
      <c r="E34" s="619">
        <f t="shared" ca="1" si="0"/>
        <v>196177.92552631578</v>
      </c>
      <c r="F34" s="183">
        <f t="shared" ca="1" si="1"/>
        <v>0</v>
      </c>
      <c r="G34" s="183">
        <f t="shared" ref="G34:G39" ca="1" si="18">+E34+F34</f>
        <v>196177.92552631578</v>
      </c>
      <c r="H34" s="184"/>
      <c r="I34" s="185">
        <v>8045.0765038403333</v>
      </c>
      <c r="J34" s="185">
        <v>185227.05965973201</v>
      </c>
      <c r="K34" s="185">
        <v>196571.09594949568</v>
      </c>
      <c r="L34" s="182">
        <f t="shared" ref="L34:L39" si="19">+J34-K34</f>
        <v>-11344.036289763666</v>
      </c>
      <c r="M34" s="182"/>
      <c r="N34" s="183">
        <v>0</v>
      </c>
      <c r="O34" s="183">
        <v>0</v>
      </c>
      <c r="P34" s="183">
        <f t="shared" ref="P34:P39" si="20">+N34-O34</f>
        <v>0</v>
      </c>
      <c r="Q34" s="622">
        <f t="shared" si="9"/>
        <v>-452.29665295182872</v>
      </c>
      <c r="R34" s="186">
        <f t="shared" ref="R34:R39" si="21">I34+L34+P34+Q34</f>
        <v>-3751.2564388751616</v>
      </c>
      <c r="S34" s="186"/>
      <c r="T34" s="189">
        <f t="shared" ref="T34:T39" ca="1" si="22">+G34+R34</f>
        <v>192426.66908744062</v>
      </c>
      <c r="U34" s="194"/>
      <c r="V34" s="188">
        <f t="shared" ref="V34:V39" si="23">+I34+L34+P34</f>
        <v>-3298.9597859233327</v>
      </c>
      <c r="W34" s="159" t="str">
        <f t="shared" si="17"/>
        <v>P.017</v>
      </c>
      <c r="X34" s="148" t="s">
        <v>265</v>
      </c>
    </row>
    <row r="35" spans="1:24">
      <c r="A35" s="193" t="s">
        <v>268</v>
      </c>
      <c r="B35" s="156" t="s">
        <v>117</v>
      </c>
      <c r="C35" s="192" t="str">
        <f t="shared" ca="1" si="0"/>
        <v>Darlington-Red Rock 138 kV line</v>
      </c>
      <c r="D35" s="181">
        <f t="shared" ca="1" si="0"/>
        <v>2014</v>
      </c>
      <c r="E35" s="619">
        <f t="shared" ca="1" si="0"/>
        <v>193977.76315789475</v>
      </c>
      <c r="F35" s="183">
        <f t="shared" ca="1" si="1"/>
        <v>0</v>
      </c>
      <c r="G35" s="195">
        <f t="shared" ca="1" si="18"/>
        <v>193977.76315789475</v>
      </c>
      <c r="H35" s="196"/>
      <c r="I35" s="185">
        <v>10376.105477074801</v>
      </c>
      <c r="J35" s="185">
        <v>185520.33924053717</v>
      </c>
      <c r="K35" s="185">
        <v>196882.33712950678</v>
      </c>
      <c r="L35" s="197">
        <f t="shared" si="19"/>
        <v>-11361.997888969607</v>
      </c>
      <c r="M35" s="197"/>
      <c r="N35" s="195">
        <v>0</v>
      </c>
      <c r="O35" s="195">
        <v>0</v>
      </c>
      <c r="P35" s="195">
        <f t="shared" si="20"/>
        <v>0</v>
      </c>
      <c r="Q35" s="622">
        <f t="shared" si="9"/>
        <v>-135.16861890022113</v>
      </c>
      <c r="R35" s="198">
        <f t="shared" si="21"/>
        <v>-1121.0610307950265</v>
      </c>
      <c r="S35" s="198"/>
      <c r="T35" s="199">
        <f t="shared" ca="1" si="22"/>
        <v>192856.70212709974</v>
      </c>
      <c r="U35" s="194"/>
      <c r="V35" s="188">
        <f t="shared" si="23"/>
        <v>-985.89241189480526</v>
      </c>
      <c r="W35" s="159" t="str">
        <f t="shared" si="17"/>
        <v>P.018</v>
      </c>
      <c r="X35" s="148" t="s">
        <v>266</v>
      </c>
    </row>
    <row r="36" spans="1:24">
      <c r="A36" s="193" t="s">
        <v>275</v>
      </c>
      <c r="B36" s="156" t="s">
        <v>117</v>
      </c>
      <c r="C36" s="192" t="str">
        <f t="shared" ca="1" si="0"/>
        <v>Valliant-NW Texarkana 345 kV</v>
      </c>
      <c r="D36" s="181">
        <f t="shared" ca="1" si="0"/>
        <v>2017</v>
      </c>
      <c r="E36" s="619">
        <f t="shared" ca="1" si="0"/>
        <v>161154.20676823906</v>
      </c>
      <c r="F36" s="183">
        <f t="shared" ca="1" si="1"/>
        <v>0</v>
      </c>
      <c r="G36" s="195">
        <f t="shared" ca="1" si="18"/>
        <v>161154.20676823906</v>
      </c>
      <c r="H36" s="196"/>
      <c r="I36" s="185">
        <v>4955.5777265918441</v>
      </c>
      <c r="J36" s="185">
        <v>152212.96081333884</v>
      </c>
      <c r="K36" s="185">
        <v>161535.08337151643</v>
      </c>
      <c r="L36" s="197">
        <f t="shared" si="19"/>
        <v>-9322.1225581775943</v>
      </c>
      <c r="M36" s="197"/>
      <c r="N36" s="195">
        <v>0</v>
      </c>
      <c r="O36" s="195">
        <v>0</v>
      </c>
      <c r="P36" s="195">
        <f t="shared" si="20"/>
        <v>0</v>
      </c>
      <c r="Q36" s="622">
        <f t="shared" si="9"/>
        <v>-598.66556140440309</v>
      </c>
      <c r="R36" s="198">
        <f t="shared" si="21"/>
        <v>-4965.2103929901532</v>
      </c>
      <c r="S36" s="198"/>
      <c r="T36" s="199">
        <f t="shared" ca="1" si="22"/>
        <v>156188.99637524891</v>
      </c>
      <c r="U36" s="194"/>
      <c r="V36" s="188">
        <f t="shared" si="23"/>
        <v>-4366.5448315857502</v>
      </c>
      <c r="W36" s="159" t="str">
        <f t="shared" si="17"/>
        <v>P.019</v>
      </c>
      <c r="X36" s="148" t="s">
        <v>281</v>
      </c>
    </row>
    <row r="37" spans="1:24">
      <c r="A37" s="193" t="s">
        <v>276</v>
      </c>
      <c r="B37" s="156" t="s">
        <v>117</v>
      </c>
      <c r="C37" s="192" t="str">
        <f t="shared" ca="1" si="0"/>
        <v>Sayre 138 kV Capacitor Bank Addition</v>
      </c>
      <c r="D37" s="181">
        <f t="shared" ca="1" si="0"/>
        <v>2018</v>
      </c>
      <c r="E37" s="619">
        <f t="shared" ca="1" si="0"/>
        <v>245885.97075152432</v>
      </c>
      <c r="F37" s="183">
        <f t="shared" ca="1" si="1"/>
        <v>0</v>
      </c>
      <c r="G37" s="183">
        <f t="shared" ca="1" si="18"/>
        <v>245885.97075152432</v>
      </c>
      <c r="H37" s="184"/>
      <c r="I37" s="185">
        <v>6478.9351847236685</v>
      </c>
      <c r="J37" s="185">
        <v>230330.53482059605</v>
      </c>
      <c r="K37" s="185">
        <v>244436.88596845453</v>
      </c>
      <c r="L37" s="197">
        <f t="shared" si="19"/>
        <v>-14106.351147858484</v>
      </c>
      <c r="M37" s="197"/>
      <c r="N37" s="195">
        <v>0</v>
      </c>
      <c r="O37" s="195">
        <v>0</v>
      </c>
      <c r="P37" s="195">
        <f t="shared" si="20"/>
        <v>0</v>
      </c>
      <c r="Q37" s="622">
        <f t="shared" si="9"/>
        <v>-1045.7401528559888</v>
      </c>
      <c r="R37" s="198">
        <f t="shared" si="21"/>
        <v>-8673.1561159908051</v>
      </c>
      <c r="S37" s="198"/>
      <c r="T37" s="199">
        <f t="shared" ca="1" si="22"/>
        <v>237212.81463553352</v>
      </c>
      <c r="U37" s="194"/>
      <c r="V37" s="188">
        <f t="shared" si="23"/>
        <v>-7627.4159631348157</v>
      </c>
      <c r="W37" s="159" t="str">
        <f t="shared" si="17"/>
        <v>P.020</v>
      </c>
      <c r="X37" s="148" t="s">
        <v>282</v>
      </c>
    </row>
    <row r="38" spans="1:24">
      <c r="A38" s="193" t="s">
        <v>277</v>
      </c>
      <c r="B38" s="156" t="s">
        <v>117</v>
      </c>
      <c r="C38" s="192" t="str">
        <f t="shared" ca="1" si="0"/>
        <v>Darlington-Roman Nose 138 kV</v>
      </c>
      <c r="D38" s="181">
        <f t="shared" ca="1" si="0"/>
        <v>2017</v>
      </c>
      <c r="E38" s="619">
        <f t="shared" ca="1" si="0"/>
        <v>40482.116861943046</v>
      </c>
      <c r="F38" s="183">
        <f t="shared" ca="1" si="1"/>
        <v>0</v>
      </c>
      <c r="G38" s="183">
        <f t="shared" ca="1" si="18"/>
        <v>40482.116861943046</v>
      </c>
      <c r="H38" s="184"/>
      <c r="I38" s="185">
        <v>797.62434382060019</v>
      </c>
      <c r="J38" s="185">
        <v>36177.366045816962</v>
      </c>
      <c r="K38" s="185">
        <v>38393.010747221415</v>
      </c>
      <c r="L38" s="197">
        <f t="shared" si="19"/>
        <v>-2215.6447014044534</v>
      </c>
      <c r="M38" s="197"/>
      <c r="N38" s="195">
        <v>0</v>
      </c>
      <c r="O38" s="195">
        <v>0</v>
      </c>
      <c r="P38" s="195">
        <f t="shared" si="20"/>
        <v>0</v>
      </c>
      <c r="Q38" s="622">
        <f t="shared" si="9"/>
        <v>-194.4145740391991</v>
      </c>
      <c r="R38" s="198">
        <f t="shared" si="21"/>
        <v>-1612.4349316230523</v>
      </c>
      <c r="S38" s="198"/>
      <c r="T38" s="199">
        <f t="shared" ca="1" si="22"/>
        <v>38869.681930319995</v>
      </c>
      <c r="U38" s="194"/>
      <c r="V38" s="188">
        <f t="shared" si="23"/>
        <v>-1418.0203575838532</v>
      </c>
      <c r="W38" s="159" t="str">
        <f t="shared" si="17"/>
        <v>P.021</v>
      </c>
      <c r="X38" s="148" t="s">
        <v>279</v>
      </c>
    </row>
    <row r="39" spans="1:24">
      <c r="A39" s="193" t="s">
        <v>278</v>
      </c>
      <c r="B39" s="156" t="s">
        <v>117</v>
      </c>
      <c r="C39" s="192" t="str">
        <f t="shared" ca="1" si="0"/>
        <v>Northeastern Station 138 kV Terminal Upgrades</v>
      </c>
      <c r="D39" s="181">
        <f t="shared" ca="1" si="0"/>
        <v>2018</v>
      </c>
      <c r="E39" s="619">
        <f t="shared" ca="1" si="0"/>
        <v>30127.747736725432</v>
      </c>
      <c r="F39" s="183">
        <f t="shared" ca="1" si="1"/>
        <v>0</v>
      </c>
      <c r="G39" s="183">
        <f t="shared" ca="1" si="18"/>
        <v>30127.747736725432</v>
      </c>
      <c r="H39" s="184"/>
      <c r="I39" s="185">
        <v>932.49068783139592</v>
      </c>
      <c r="J39" s="185">
        <v>28234.193670516433</v>
      </c>
      <c r="K39" s="185">
        <v>29963.367141168812</v>
      </c>
      <c r="L39" s="197">
        <f t="shared" si="19"/>
        <v>-1729.1734706523785</v>
      </c>
      <c r="M39" s="197"/>
      <c r="N39" s="195">
        <v>0</v>
      </c>
      <c r="O39" s="195">
        <v>0</v>
      </c>
      <c r="P39" s="195">
        <f t="shared" si="20"/>
        <v>0</v>
      </c>
      <c r="Q39" s="622">
        <f t="shared" si="9"/>
        <v>-109.22744729166978</v>
      </c>
      <c r="R39" s="198">
        <f t="shared" si="21"/>
        <v>-905.91023011265236</v>
      </c>
      <c r="S39" s="198"/>
      <c r="T39" s="199">
        <f t="shared" ca="1" si="22"/>
        <v>29221.837506612781</v>
      </c>
      <c r="U39" s="194"/>
      <c r="V39" s="188">
        <f t="shared" si="23"/>
        <v>-796.68278282098254</v>
      </c>
      <c r="W39" s="159" t="str">
        <f t="shared" si="17"/>
        <v>P.022</v>
      </c>
      <c r="X39" s="148" t="s">
        <v>280</v>
      </c>
    </row>
    <row r="40" spans="1:24">
      <c r="A40" s="193" t="s">
        <v>309</v>
      </c>
      <c r="B40" s="156" t="s">
        <v>117</v>
      </c>
      <c r="C40" s="192" t="str">
        <f t="shared" ca="1" si="0"/>
        <v>Elk City 138KV Move Load</v>
      </c>
      <c r="D40" s="181">
        <f t="shared" ca="1" si="0"/>
        <v>2018</v>
      </c>
      <c r="E40" s="619">
        <f t="shared" ca="1" si="0"/>
        <v>140547.01323868823</v>
      </c>
      <c r="F40" s="183">
        <f t="shared" ca="1" si="1"/>
        <v>0</v>
      </c>
      <c r="G40" s="183">
        <f t="shared" ref="G40:G45" ca="1" si="24">+E40+F40</f>
        <v>140547.01323868823</v>
      </c>
      <c r="H40" s="184"/>
      <c r="I40" s="185">
        <v>6840.7575462456443</v>
      </c>
      <c r="J40" s="185">
        <v>130364.57730390571</v>
      </c>
      <c r="K40" s="185">
        <v>138348.61861272916</v>
      </c>
      <c r="L40" s="197">
        <f t="shared" ref="L40:L45" si="25">+J40-K40</f>
        <v>-7984.0413088234491</v>
      </c>
      <c r="M40" s="197"/>
      <c r="N40" s="195">
        <v>0</v>
      </c>
      <c r="O40" s="195">
        <v>0</v>
      </c>
      <c r="P40" s="195">
        <f t="shared" ref="P40:P45" si="26">+N40-O40</f>
        <v>0</v>
      </c>
      <c r="Q40" s="622">
        <f t="shared" si="9"/>
        <v>-156.74741516844051</v>
      </c>
      <c r="R40" s="198">
        <f t="shared" ref="R40:R45" si="27">I40+L40+P40+Q40</f>
        <v>-1300.0311777462452</v>
      </c>
      <c r="S40" s="198"/>
      <c r="T40" s="199">
        <f t="shared" ref="T40:T48" ca="1" si="28">+G40+R40</f>
        <v>139246.98206094198</v>
      </c>
      <c r="U40" s="194"/>
      <c r="V40" s="188">
        <f t="shared" ref="V40:V48" si="29">+I40+L40+P40</f>
        <v>-1143.2837625778047</v>
      </c>
      <c r="W40" s="159" t="str">
        <f>A40</f>
        <v>P.023</v>
      </c>
      <c r="X40" s="148" t="s">
        <v>407</v>
      </c>
    </row>
    <row r="41" spans="1:24">
      <c r="A41" s="193" t="s">
        <v>310</v>
      </c>
      <c r="B41" s="156" t="s">
        <v>117</v>
      </c>
      <c r="C41" s="192" t="str">
        <f t="shared" ca="1" si="0"/>
        <v>Duncan-Comanche Tap 69 KV Rebuild</v>
      </c>
      <c r="D41" s="181">
        <f t="shared" ca="1" si="0"/>
        <v>2018</v>
      </c>
      <c r="E41" s="619">
        <f t="shared" ca="1" si="0"/>
        <v>166652.89001495793</v>
      </c>
      <c r="F41" s="183">
        <f t="shared" ca="1" si="1"/>
        <v>0</v>
      </c>
      <c r="G41" s="183">
        <f t="shared" ca="1" si="24"/>
        <v>166652.89001495793</v>
      </c>
      <c r="H41" s="184"/>
      <c r="I41" s="185">
        <v>4677.3144783580501</v>
      </c>
      <c r="J41" s="185">
        <v>171683.56768891358</v>
      </c>
      <c r="K41" s="185">
        <v>182198.14706946901</v>
      </c>
      <c r="L41" s="197">
        <f t="shared" si="25"/>
        <v>-10514.579380555428</v>
      </c>
      <c r="M41" s="197"/>
      <c r="N41" s="195">
        <v>0</v>
      </c>
      <c r="O41" s="195">
        <v>0</v>
      </c>
      <c r="P41" s="195">
        <f t="shared" si="26"/>
        <v>0</v>
      </c>
      <c r="Q41" s="622">
        <f t="shared" si="9"/>
        <v>-800.30541412559523</v>
      </c>
      <c r="R41" s="198">
        <f t="shared" si="27"/>
        <v>-6637.5703163229728</v>
      </c>
      <c r="S41" s="198"/>
      <c r="T41" s="199">
        <f t="shared" ca="1" si="28"/>
        <v>160015.31969863496</v>
      </c>
      <c r="U41" s="194"/>
      <c r="V41" s="188">
        <f t="shared" si="29"/>
        <v>-5837.2649021973775</v>
      </c>
      <c r="W41" s="159" t="str">
        <f>A41</f>
        <v>P.024</v>
      </c>
      <c r="X41" s="148" t="s">
        <v>408</v>
      </c>
    </row>
    <row r="42" spans="1:24">
      <c r="A42" s="193" t="s">
        <v>322</v>
      </c>
      <c r="B42" s="156" t="s">
        <v>117</v>
      </c>
      <c r="C42" s="192" t="str">
        <f t="shared" ca="1" si="0"/>
        <v>Fort Towson-Valliant Line Rebuild</v>
      </c>
      <c r="D42" s="181">
        <f t="shared" ca="1" si="0"/>
        <v>2018</v>
      </c>
      <c r="E42" s="619">
        <f t="shared" ca="1" si="0"/>
        <v>34178.610771160769</v>
      </c>
      <c r="F42" s="183">
        <f t="shared" ca="1" si="1"/>
        <v>0</v>
      </c>
      <c r="G42" s="183">
        <f t="shared" ca="1" si="24"/>
        <v>34178.610771160769</v>
      </c>
      <c r="H42" s="196"/>
      <c r="I42" s="185">
        <v>2498.2505743489746</v>
      </c>
      <c r="J42" s="185">
        <v>24319.959248578354</v>
      </c>
      <c r="K42" s="185">
        <v>25809.409552374455</v>
      </c>
      <c r="L42" s="197">
        <f t="shared" si="25"/>
        <v>-1489.4503037961003</v>
      </c>
      <c r="M42" s="197"/>
      <c r="N42" s="195">
        <v>0</v>
      </c>
      <c r="O42" s="195">
        <v>0</v>
      </c>
      <c r="P42" s="195">
        <f t="shared" si="26"/>
        <v>0</v>
      </c>
      <c r="Q42" s="622">
        <f t="shared" si="9"/>
        <v>138.30935066710998</v>
      </c>
      <c r="R42" s="198">
        <f t="shared" si="27"/>
        <v>1147.1096212199843</v>
      </c>
      <c r="S42" s="198"/>
      <c r="T42" s="199">
        <f t="shared" ca="1" si="28"/>
        <v>35325.720392380754</v>
      </c>
      <c r="U42" s="194"/>
      <c r="V42" s="188">
        <f t="shared" si="29"/>
        <v>1008.8002705528743</v>
      </c>
      <c r="W42" s="159" t="str">
        <f>A42</f>
        <v>P.025</v>
      </c>
      <c r="X42" s="148" t="s">
        <v>320</v>
      </c>
    </row>
    <row r="43" spans="1:24">
      <c r="A43" s="193" t="s">
        <v>330</v>
      </c>
      <c r="B43" s="156" t="s">
        <v>117</v>
      </c>
      <c r="C43" s="615" t="str">
        <f t="shared" ca="1" si="0"/>
        <v>Tulsa Southeast - E. 61st St 138 kV Rebuild</v>
      </c>
      <c r="D43" s="181">
        <f t="shared" ca="1" si="0"/>
        <v>2019</v>
      </c>
      <c r="E43" s="619">
        <f t="shared" ca="1" si="0"/>
        <v>1038787.3238188896</v>
      </c>
      <c r="F43" s="183">
        <f t="shared" ca="1" si="1"/>
        <v>0</v>
      </c>
      <c r="G43" s="183">
        <f t="shared" ca="1" si="24"/>
        <v>1038787.3238188896</v>
      </c>
      <c r="H43" s="196"/>
      <c r="I43" s="185">
        <v>32330.941923563718</v>
      </c>
      <c r="J43" s="185">
        <v>1097699.2557096137</v>
      </c>
      <c r="K43" s="185">
        <v>1164926.6911334214</v>
      </c>
      <c r="L43" s="197">
        <f t="shared" si="25"/>
        <v>-67227.435423807707</v>
      </c>
      <c r="M43" s="197"/>
      <c r="N43" s="195">
        <v>0</v>
      </c>
      <c r="O43" s="195">
        <v>0</v>
      </c>
      <c r="P43" s="195">
        <f t="shared" si="26"/>
        <v>0</v>
      </c>
      <c r="Q43" s="622">
        <f t="shared" si="9"/>
        <v>-4784.4072780953893</v>
      </c>
      <c r="R43" s="198">
        <f t="shared" si="27"/>
        <v>-39680.900778339375</v>
      </c>
      <c r="S43" s="198"/>
      <c r="T43" s="199">
        <f t="shared" ca="1" si="28"/>
        <v>999106.4230405502</v>
      </c>
      <c r="U43" s="194"/>
      <c r="V43" s="188">
        <f t="shared" si="29"/>
        <v>-34896.493500243989</v>
      </c>
      <c r="W43" s="159" t="str">
        <f>A43</f>
        <v>P.026</v>
      </c>
      <c r="X43" s="148" t="s">
        <v>409</v>
      </c>
    </row>
    <row r="44" spans="1:24">
      <c r="A44" s="193" t="s">
        <v>331</v>
      </c>
      <c r="B44" s="156" t="s">
        <v>117</v>
      </c>
      <c r="C44" s="616" t="str">
        <f t="shared" ca="1" si="0"/>
        <v>Broken Arrow North-Lynn Lane East 138 kV</v>
      </c>
      <c r="D44" s="181">
        <f t="shared" ca="1" si="0"/>
        <v>2019</v>
      </c>
      <c r="E44" s="619">
        <f t="shared" ca="1" si="0"/>
        <v>647610.96322305209</v>
      </c>
      <c r="F44" s="183">
        <f t="shared" ca="1" si="1"/>
        <v>0</v>
      </c>
      <c r="G44" s="183">
        <f t="shared" ca="1" si="24"/>
        <v>647610.96322305209</v>
      </c>
      <c r="H44" s="196"/>
      <c r="I44" s="185">
        <v>7411.5225977693917</v>
      </c>
      <c r="J44" s="185">
        <v>705182.65035670938</v>
      </c>
      <c r="K44" s="185">
        <v>748370.81946792768</v>
      </c>
      <c r="L44" s="197">
        <f t="shared" si="25"/>
        <v>-43188.169111218303</v>
      </c>
      <c r="M44" s="197"/>
      <c r="N44" s="195">
        <v>0</v>
      </c>
      <c r="O44" s="195">
        <v>0</v>
      </c>
      <c r="P44" s="195">
        <f t="shared" si="26"/>
        <v>0</v>
      </c>
      <c r="Q44" s="622">
        <f t="shared" si="9"/>
        <v>-4905.0787284285234</v>
      </c>
      <c r="R44" s="198">
        <f t="shared" si="27"/>
        <v>-40681.725241877437</v>
      </c>
      <c r="S44" s="198"/>
      <c r="T44" s="199">
        <f t="shared" ca="1" si="28"/>
        <v>606929.23798117461</v>
      </c>
      <c r="U44" s="194"/>
      <c r="V44" s="188">
        <f t="shared" si="29"/>
        <v>-35776.646513448912</v>
      </c>
      <c r="W44" s="159" t="str">
        <f>A44</f>
        <v>P.027</v>
      </c>
      <c r="X44" s="148" t="s">
        <v>333</v>
      </c>
    </row>
    <row r="45" spans="1:24">
      <c r="A45" s="193" t="s">
        <v>338</v>
      </c>
      <c r="B45" s="156" t="s">
        <v>117</v>
      </c>
      <c r="C45" s="618" t="str">
        <f t="shared" ca="1" si="0"/>
        <v>Keystone Dam - Wekiwa 138 kV</v>
      </c>
      <c r="D45" s="181">
        <f t="shared" ca="1" si="0"/>
        <v>2020</v>
      </c>
      <c r="E45" s="619">
        <f t="shared" ca="1" si="0"/>
        <v>309077.29528227838</v>
      </c>
      <c r="F45" s="183">
        <f t="shared" ca="1" si="1"/>
        <v>0</v>
      </c>
      <c r="G45" s="183">
        <f t="shared" ca="1" si="24"/>
        <v>309077.29528227838</v>
      </c>
      <c r="H45" s="196"/>
      <c r="I45" s="185">
        <v>-7574.3355252463953</v>
      </c>
      <c r="J45" s="185">
        <v>347645.34520249761</v>
      </c>
      <c r="K45" s="185">
        <v>368936.51842086675</v>
      </c>
      <c r="L45" s="197">
        <f t="shared" si="25"/>
        <v>-21291.173218369135</v>
      </c>
      <c r="M45" s="197"/>
      <c r="N45" s="195">
        <v>0</v>
      </c>
      <c r="O45" s="195">
        <v>0</v>
      </c>
      <c r="P45" s="195">
        <f t="shared" si="26"/>
        <v>0</v>
      </c>
      <c r="Q45" s="622">
        <f>+V45/$V$52 * $Q$52</f>
        <v>-3957.5423277961913</v>
      </c>
      <c r="R45" s="198">
        <f t="shared" si="27"/>
        <v>-32823.051071411719</v>
      </c>
      <c r="S45" s="198"/>
      <c r="T45" s="199">
        <f t="shared" ca="1" si="28"/>
        <v>276254.24421086669</v>
      </c>
      <c r="U45" s="194"/>
      <c r="V45" s="188">
        <f t="shared" si="29"/>
        <v>-28865.50874361553</v>
      </c>
      <c r="W45" s="627" t="s">
        <v>338</v>
      </c>
      <c r="X45" s="148" t="s">
        <v>336</v>
      </c>
    </row>
    <row r="46" spans="1:24">
      <c r="A46" s="193" t="s">
        <v>377</v>
      </c>
      <c r="B46" s="156" t="s">
        <v>117</v>
      </c>
      <c r="C46" s="624" t="str">
        <f t="shared" ca="1" si="0"/>
        <v>Tulsa SE - S Hudson 138 kV</v>
      </c>
      <c r="D46" s="181">
        <f t="shared" ca="1" si="0"/>
        <v>2022</v>
      </c>
      <c r="E46" s="619">
        <f t="shared" ca="1" si="0"/>
        <v>0</v>
      </c>
      <c r="F46" s="183">
        <f t="shared" ca="1" si="1"/>
        <v>0</v>
      </c>
      <c r="G46" s="183">
        <f t="shared" ref="G46:G48" ca="1" si="30">+E46+F46</f>
        <v>0</v>
      </c>
      <c r="H46" s="196"/>
      <c r="I46" s="185">
        <v>-96370.240861168277</v>
      </c>
      <c r="J46" s="185">
        <v>98065.578092049604</v>
      </c>
      <c r="K46" s="185">
        <v>104071.50119365519</v>
      </c>
      <c r="L46" s="197">
        <f t="shared" ref="L46:L48" si="31">+J46-K46</f>
        <v>-6005.9231016055855</v>
      </c>
      <c r="M46" s="197"/>
      <c r="N46" s="195">
        <v>0</v>
      </c>
      <c r="O46" s="195">
        <v>0</v>
      </c>
      <c r="P46" s="195">
        <f t="shared" ref="P46:P48" si="32">+N46-O46</f>
        <v>0</v>
      </c>
      <c r="Q46" s="622">
        <f t="shared" ref="Q46:Q48" si="33">+V46/$V$52 * $Q$52</f>
        <v>-14036.059639159952</v>
      </c>
      <c r="R46" s="198">
        <f t="shared" ref="R46:R48" si="34">I46+L46+P46+Q46</f>
        <v>-116412.22360193382</v>
      </c>
      <c r="S46" s="198"/>
      <c r="T46" s="199">
        <f t="shared" ca="1" si="28"/>
        <v>-116412.22360193382</v>
      </c>
      <c r="U46" s="194"/>
      <c r="V46" s="188">
        <f t="shared" si="29"/>
        <v>-102376.16396277386</v>
      </c>
      <c r="W46" s="627" t="s">
        <v>377</v>
      </c>
      <c r="X46" s="148" t="s">
        <v>374</v>
      </c>
    </row>
    <row r="47" spans="1:24">
      <c r="A47" s="193" t="s">
        <v>378</v>
      </c>
      <c r="B47" s="156" t="s">
        <v>117</v>
      </c>
      <c r="C47" s="624" t="str">
        <f t="shared" ca="1" si="0"/>
        <v>Tulsa SE - E 21st St Tap 138 kV</v>
      </c>
      <c r="D47" s="181">
        <f t="shared" ca="1" si="0"/>
        <v>2021</v>
      </c>
      <c r="E47" s="619">
        <f t="shared" ca="1" si="0"/>
        <v>241650.66247029093</v>
      </c>
      <c r="F47" s="183">
        <f t="shared" ca="1" si="1"/>
        <v>0</v>
      </c>
      <c r="G47" s="183">
        <f t="shared" ca="1" si="30"/>
        <v>241650.66247029093</v>
      </c>
      <c r="H47" s="196"/>
      <c r="I47" s="185">
        <v>-9080.7939148002479</v>
      </c>
      <c r="J47" s="185">
        <v>90185.047613691771</v>
      </c>
      <c r="K47" s="185">
        <v>95708.335921583624</v>
      </c>
      <c r="L47" s="197">
        <f t="shared" si="31"/>
        <v>-5523.288307891853</v>
      </c>
      <c r="M47" s="197"/>
      <c r="N47" s="195">
        <v>0</v>
      </c>
      <c r="O47" s="195">
        <v>0</v>
      </c>
      <c r="P47" s="195">
        <f t="shared" si="32"/>
        <v>0</v>
      </c>
      <c r="Q47" s="622">
        <f t="shared" si="33"/>
        <v>-2002.2606934895352</v>
      </c>
      <c r="R47" s="198">
        <f t="shared" si="34"/>
        <v>-16606.342916181635</v>
      </c>
      <c r="S47" s="198"/>
      <c r="T47" s="199">
        <f t="shared" ca="1" si="28"/>
        <v>225044.3195541093</v>
      </c>
      <c r="U47" s="194"/>
      <c r="V47" s="188">
        <f t="shared" si="29"/>
        <v>-14604.082222692101</v>
      </c>
      <c r="W47" s="627" t="s">
        <v>378</v>
      </c>
      <c r="X47" s="148" t="s">
        <v>371</v>
      </c>
    </row>
    <row r="48" spans="1:24">
      <c r="A48" s="193" t="s">
        <v>379</v>
      </c>
      <c r="B48" s="156" t="s">
        <v>117</v>
      </c>
      <c r="C48" s="624" t="str">
        <f t="shared" ca="1" si="0"/>
        <v>Pryor Junction 138/115 kV</v>
      </c>
      <c r="D48" s="181">
        <f t="shared" ca="1" si="0"/>
        <v>2022</v>
      </c>
      <c r="E48" s="619">
        <f t="shared" ca="1" si="0"/>
        <v>9626.268765265102</v>
      </c>
      <c r="F48" s="183">
        <f t="shared" ca="1" si="1"/>
        <v>0</v>
      </c>
      <c r="G48" s="183">
        <f t="shared" ca="1" si="30"/>
        <v>9626.268765265102</v>
      </c>
      <c r="H48" s="196"/>
      <c r="I48" s="185">
        <v>801.36099008530255</v>
      </c>
      <c r="J48" s="185">
        <v>3024.2132561392209</v>
      </c>
      <c r="K48" s="185">
        <v>3209.4280135761219</v>
      </c>
      <c r="L48" s="197">
        <f t="shared" si="31"/>
        <v>-185.21475743690098</v>
      </c>
      <c r="M48" s="197"/>
      <c r="N48" s="195">
        <v>0</v>
      </c>
      <c r="O48" s="195">
        <v>0</v>
      </c>
      <c r="P48" s="195">
        <f t="shared" si="32"/>
        <v>0</v>
      </c>
      <c r="Q48" s="622">
        <f t="shared" si="33"/>
        <v>84.47537916190511</v>
      </c>
      <c r="R48" s="198">
        <f t="shared" si="34"/>
        <v>700.62161181030672</v>
      </c>
      <c r="S48" s="198"/>
      <c r="T48" s="199">
        <f t="shared" ca="1" si="28"/>
        <v>10326.89037707541</v>
      </c>
      <c r="U48" s="194"/>
      <c r="V48" s="188">
        <f t="shared" si="29"/>
        <v>616.14623264840156</v>
      </c>
      <c r="W48" s="627" t="s">
        <v>379</v>
      </c>
      <c r="X48" s="148" t="s">
        <v>368</v>
      </c>
    </row>
    <row r="49" spans="1:24">
      <c r="A49" s="193" t="s">
        <v>384</v>
      </c>
      <c r="B49" s="156" t="s">
        <v>117</v>
      </c>
      <c r="C49" s="638" t="str">
        <f t="shared" ca="1" si="0"/>
        <v>Catoosa-Blue Circle rebuild</v>
      </c>
      <c r="D49" s="181">
        <f t="shared" ca="1" si="0"/>
        <v>2024</v>
      </c>
      <c r="E49" s="619">
        <f t="shared" ca="1" si="0"/>
        <v>222415.29712588375</v>
      </c>
      <c r="F49" s="183">
        <f t="shared" ca="1" si="1"/>
        <v>0</v>
      </c>
      <c r="G49" s="183">
        <f t="shared" ref="G49:G50" ca="1" si="35">+E49+F49</f>
        <v>222415.29712588375</v>
      </c>
      <c r="H49" s="196"/>
      <c r="I49" s="185">
        <v>0</v>
      </c>
      <c r="J49" s="185">
        <v>0</v>
      </c>
      <c r="K49" s="185">
        <v>0</v>
      </c>
      <c r="L49" s="197">
        <f t="shared" ref="L49:L50" si="36">+J49-K49</f>
        <v>0</v>
      </c>
      <c r="M49" s="197"/>
      <c r="N49" s="195">
        <v>0</v>
      </c>
      <c r="O49" s="195">
        <v>0</v>
      </c>
      <c r="P49" s="195">
        <f t="shared" ref="P49:P50" si="37">+N49-O49</f>
        <v>0</v>
      </c>
      <c r="Q49" s="622">
        <f t="shared" ref="Q49:Q50" si="38">+V49/$V$52 * $Q$52</f>
        <v>0</v>
      </c>
      <c r="R49" s="198">
        <f t="shared" ref="R49:R50" si="39">I49+L49+P49+Q49</f>
        <v>0</v>
      </c>
      <c r="S49" s="198"/>
      <c r="T49" s="199">
        <f t="shared" ref="T49:T50" ca="1" si="40">+G49+R49</f>
        <v>222415.29712588375</v>
      </c>
      <c r="U49" s="194"/>
      <c r="V49" s="188">
        <f t="shared" ref="V49:V50" si="41">+I49+L49+P49</f>
        <v>0</v>
      </c>
      <c r="W49" s="627" t="s">
        <v>384</v>
      </c>
      <c r="X49" s="148" t="e">
        <v>#N/A</v>
      </c>
    </row>
    <row r="50" spans="1:24">
      <c r="A50" s="193" t="s">
        <v>385</v>
      </c>
      <c r="B50" s="156" t="s">
        <v>117</v>
      </c>
      <c r="C50" s="638" t="str">
        <f t="shared" ref="C50:E50" ca="1" si="42">INDIRECT("'"&amp; $A50 &amp; "'!" &amp;C$59)</f>
        <v>Chisholm Substation 345 kV Terminal Upgrades</v>
      </c>
      <c r="D50" s="181">
        <f t="shared" ca="1" si="42"/>
        <v>2024</v>
      </c>
      <c r="E50" s="619">
        <f t="shared" ca="1" si="42"/>
        <v>25.762152486776909</v>
      </c>
      <c r="F50" s="183">
        <f t="shared" ca="1" si="1"/>
        <v>0</v>
      </c>
      <c r="G50" s="183">
        <f t="shared" ca="1" si="35"/>
        <v>25.762152486776909</v>
      </c>
      <c r="H50" s="196"/>
      <c r="I50" s="185">
        <v>0</v>
      </c>
      <c r="J50" s="185">
        <v>0</v>
      </c>
      <c r="K50" s="185">
        <v>0</v>
      </c>
      <c r="L50" s="197">
        <f t="shared" si="36"/>
        <v>0</v>
      </c>
      <c r="M50" s="197"/>
      <c r="N50" s="195">
        <v>0</v>
      </c>
      <c r="O50" s="195">
        <v>0</v>
      </c>
      <c r="P50" s="195">
        <f t="shared" si="37"/>
        <v>0</v>
      </c>
      <c r="Q50" s="622">
        <f t="shared" si="38"/>
        <v>0</v>
      </c>
      <c r="R50" s="198">
        <f t="shared" si="39"/>
        <v>0</v>
      </c>
      <c r="S50" s="198"/>
      <c r="T50" s="199">
        <f t="shared" ca="1" si="40"/>
        <v>25.762152486776909</v>
      </c>
      <c r="U50" s="194"/>
      <c r="V50" s="188">
        <f t="shared" si="41"/>
        <v>0</v>
      </c>
      <c r="W50" s="627" t="s">
        <v>385</v>
      </c>
      <c r="X50" s="148" t="e">
        <v>#N/A</v>
      </c>
    </row>
    <row r="51" spans="1:24">
      <c r="A51" s="159"/>
      <c r="B51" s="159"/>
      <c r="C51" s="159"/>
      <c r="D51" s="156"/>
      <c r="E51" s="198"/>
      <c r="F51" s="198"/>
      <c r="G51" s="198"/>
      <c r="H51" s="186"/>
      <c r="I51" s="198"/>
      <c r="J51" s="198"/>
      <c r="K51" s="200"/>
      <c r="L51" s="198"/>
      <c r="M51" s="198"/>
      <c r="N51" s="198"/>
      <c r="O51" s="198"/>
      <c r="P51" s="198"/>
      <c r="Q51" s="623"/>
      <c r="R51" s="198"/>
      <c r="S51" s="186"/>
      <c r="T51" s="199"/>
      <c r="V51" s="179"/>
    </row>
    <row r="52" spans="1:24">
      <c r="A52" s="159"/>
      <c r="B52" s="159"/>
      <c r="C52" s="201" t="s">
        <v>177</v>
      </c>
      <c r="D52" s="156"/>
      <c r="E52" s="186">
        <f ca="1">SUM(E18:E51)</f>
        <v>8557318.5351672061</v>
      </c>
      <c r="F52" s="186">
        <f ca="1">SUM(F18:F51)</f>
        <v>0</v>
      </c>
      <c r="G52" s="186">
        <f ca="1">SUM(G18:G51)</f>
        <v>8557318.5351672061</v>
      </c>
      <c r="H52" s="186"/>
      <c r="I52" s="186">
        <f>SUM(I18:I51)</f>
        <v>189765.21769207093</v>
      </c>
      <c r="J52" s="186">
        <f>SUM(J18:J51)</f>
        <v>8083573.6241971096</v>
      </c>
      <c r="K52" s="186">
        <v>8578643.5816446058</v>
      </c>
      <c r="L52" s="186">
        <f>SUM(L18:L51)</f>
        <v>-495069.95744749618</v>
      </c>
      <c r="M52" s="186">
        <f>SUM(M18:M42)</f>
        <v>0</v>
      </c>
      <c r="N52" s="186">
        <f>SUM(N18:N51)</f>
        <v>0</v>
      </c>
      <c r="O52" s="186">
        <f>SUM(O18:O51)</f>
        <v>0</v>
      </c>
      <c r="P52" s="186">
        <f>SUM(P18:P51)</f>
        <v>0</v>
      </c>
      <c r="Q52" s="185">
        <v>-41858.137377403327</v>
      </c>
      <c r="R52" s="186">
        <f>SUM(R18:R51)</f>
        <v>-347162.87713282858</v>
      </c>
      <c r="S52" s="186">
        <f>SUM(S18:S42)</f>
        <v>0</v>
      </c>
      <c r="T52" s="189">
        <f ca="1">SUM(T18:T51)</f>
        <v>8210155.6580343777</v>
      </c>
      <c r="V52" s="189">
        <f>SUM(V18:V51)</f>
        <v>-305304.73975542519</v>
      </c>
      <c r="W52" s="202" t="s">
        <v>270</v>
      </c>
    </row>
    <row r="53" spans="1:24" ht="13.5" thickBot="1">
      <c r="A53" s="159"/>
      <c r="B53" s="159"/>
      <c r="C53" s="203"/>
      <c r="D53" s="159"/>
      <c r="E53" s="204"/>
      <c r="F53" s="205" t="str">
        <f ca="1">IF(F52='PSO.WS.F.BPU.ATRR.Projected'!O19,"","Error")</f>
        <v/>
      </c>
      <c r="G53" s="205"/>
      <c r="H53" s="159"/>
      <c r="I53" s="206"/>
      <c r="J53" s="207"/>
      <c r="K53" s="208"/>
      <c r="L53" s="209"/>
      <c r="M53" s="209"/>
      <c r="N53" s="209"/>
      <c r="O53" s="209"/>
      <c r="P53" s="209"/>
      <c r="Q53" s="628"/>
      <c r="R53" s="186"/>
      <c r="S53" s="186"/>
      <c r="T53" s="186"/>
      <c r="V53" s="210"/>
      <c r="W53" s="202"/>
    </row>
    <row r="54" spans="1:24">
      <c r="A54" s="159"/>
      <c r="B54" s="159"/>
      <c r="C54" s="211" t="s">
        <v>217</v>
      </c>
      <c r="D54" s="159"/>
      <c r="E54" s="186"/>
      <c r="F54" s="186"/>
      <c r="G54" s="186"/>
      <c r="H54" s="159"/>
      <c r="I54" s="212"/>
      <c r="J54" s="212"/>
      <c r="K54" s="159"/>
      <c r="L54" s="159"/>
      <c r="M54" s="159"/>
      <c r="N54" s="209"/>
      <c r="O54" s="209"/>
      <c r="P54" s="209"/>
      <c r="Q54" s="209"/>
      <c r="R54" s="186"/>
      <c r="S54" s="186"/>
      <c r="T54" s="186"/>
    </row>
    <row r="55" spans="1:24">
      <c r="A55" s="159"/>
      <c r="B55" s="159"/>
      <c r="C55" s="211"/>
      <c r="D55" s="159"/>
      <c r="E55" s="186"/>
      <c r="F55" s="186"/>
      <c r="G55" s="186"/>
      <c r="H55" s="159"/>
      <c r="I55" s="213"/>
      <c r="J55" s="214"/>
      <c r="K55" s="185"/>
      <c r="L55" s="159"/>
      <c r="M55" s="159"/>
      <c r="N55" s="209"/>
      <c r="O55" s="209"/>
      <c r="P55" s="209"/>
      <c r="Q55" s="209"/>
      <c r="R55" s="209"/>
      <c r="S55" s="159"/>
      <c r="T55" s="159"/>
    </row>
    <row r="56" spans="1:24">
      <c r="E56" s="215"/>
      <c r="F56" s="215"/>
      <c r="G56" s="215"/>
      <c r="I56" s="215"/>
      <c r="J56" s="216"/>
      <c r="N56" s="217"/>
      <c r="O56" s="217"/>
      <c r="P56" s="217"/>
      <c r="Q56" s="218"/>
      <c r="R56" s="217"/>
    </row>
    <row r="57" spans="1:24">
      <c r="E57" s="215"/>
      <c r="F57" s="215"/>
      <c r="G57" s="215"/>
    </row>
    <row r="58" spans="1:24">
      <c r="A58" s="219" t="s">
        <v>188</v>
      </c>
      <c r="B58" s="220"/>
      <c r="C58" s="220"/>
      <c r="D58" s="220"/>
      <c r="E58" s="221"/>
      <c r="F58" s="221"/>
      <c r="G58" s="221"/>
      <c r="H58" s="220"/>
      <c r="I58" s="220"/>
      <c r="J58" s="220"/>
      <c r="K58" s="220"/>
      <c r="L58" s="220"/>
      <c r="M58" s="220"/>
      <c r="N58" s="220"/>
      <c r="O58" s="222"/>
      <c r="V58" s="148" t="s">
        <v>201</v>
      </c>
    </row>
    <row r="59" spans="1:24" ht="15.75">
      <c r="A59" s="223" t="s">
        <v>191</v>
      </c>
      <c r="B59" s="194"/>
      <c r="C59" s="224" t="str">
        <f ca="1">RIGHT(CELL("address",P.001!D7),4)</f>
        <v>$D$7</v>
      </c>
      <c r="D59" s="224" t="str">
        <f ca="1">RIGHT(CELL("address",P.001!D11),4)</f>
        <v>D$11</v>
      </c>
      <c r="E59" s="224" t="str">
        <f ca="1">RIGHT(CELL("address",P.001!N5),4)</f>
        <v>$N$5</v>
      </c>
      <c r="F59" s="224" t="str">
        <f ca="1">RIGHT(CELL("address",P.001!N7),4)</f>
        <v>$N$7</v>
      </c>
      <c r="G59" s="194"/>
      <c r="H59" s="225"/>
      <c r="I59" s="224" t="str">
        <f ca="1">RIGHT(CELL("address",P.001!M89),4)</f>
        <v>M$89</v>
      </c>
      <c r="J59" s="224"/>
      <c r="K59" s="194"/>
      <c r="L59" s="194"/>
      <c r="M59" s="194"/>
      <c r="N59" s="224" t="str">
        <f ca="1">RIGHT(CELL("address",P.001!N87),4)</f>
        <v>N$87</v>
      </c>
      <c r="O59" s="226" t="str">
        <f ca="1">RIGHT(CELL("address",P.001!N88),4)</f>
        <v>N$88</v>
      </c>
      <c r="P59" s="178" t="s">
        <v>190</v>
      </c>
      <c r="V59" s="148" t="s">
        <v>202</v>
      </c>
    </row>
    <row r="60" spans="1:24">
      <c r="A60" s="227" t="s">
        <v>192</v>
      </c>
      <c r="B60" s="228"/>
      <c r="C60" s="228"/>
      <c r="D60" s="228"/>
      <c r="E60" s="229"/>
      <c r="F60" s="229"/>
      <c r="G60" s="229"/>
      <c r="H60" s="228"/>
      <c r="I60" s="228"/>
      <c r="J60" s="228"/>
      <c r="K60" s="228"/>
      <c r="L60" s="228"/>
      <c r="M60" s="228"/>
      <c r="N60" s="228"/>
      <c r="O60" s="230"/>
      <c r="V60" s="148" t="s">
        <v>203</v>
      </c>
    </row>
    <row r="61" spans="1:24">
      <c r="E61" s="215"/>
      <c r="F61" s="215"/>
      <c r="G61" s="215"/>
      <c r="V61" s="148" t="s">
        <v>204</v>
      </c>
    </row>
    <row r="62" spans="1:24">
      <c r="A62" s="231" t="s">
        <v>244</v>
      </c>
      <c r="B62" s="231" t="s">
        <v>245</v>
      </c>
      <c r="E62" s="215"/>
      <c r="F62" s="215"/>
      <c r="G62" s="215"/>
      <c r="V62" s="232" t="s">
        <v>225</v>
      </c>
    </row>
    <row r="63" spans="1:24">
      <c r="B63" s="231" t="s">
        <v>248</v>
      </c>
      <c r="E63" s="215"/>
      <c r="F63" s="215"/>
      <c r="G63" s="215"/>
    </row>
    <row r="64" spans="1:24">
      <c r="B64" s="231" t="s">
        <v>249</v>
      </c>
      <c r="E64" s="215"/>
      <c r="F64" s="215"/>
      <c r="G64" s="215"/>
    </row>
    <row r="65" spans="2:11">
      <c r="B65" s="231" t="s">
        <v>246</v>
      </c>
      <c r="E65" s="215"/>
      <c r="F65" s="215"/>
      <c r="G65" s="215"/>
    </row>
    <row r="66" spans="2:11">
      <c r="B66" s="231" t="s">
        <v>247</v>
      </c>
      <c r="E66" s="215"/>
      <c r="F66" s="215"/>
      <c r="G66" s="215"/>
      <c r="K66" s="233"/>
    </row>
    <row r="67" spans="2:11">
      <c r="B67" s="231" t="s">
        <v>250</v>
      </c>
      <c r="E67" s="215"/>
      <c r="F67" s="215"/>
      <c r="G67" s="215"/>
    </row>
    <row r="70" spans="2:11" ht="12.75" customHeight="1">
      <c r="E70" s="160" t="s">
        <v>326</v>
      </c>
      <c r="F70" s="160" t="s">
        <v>327</v>
      </c>
      <c r="G70" s="160" t="s">
        <v>328</v>
      </c>
      <c r="H70" s="160"/>
      <c r="I70" s="234"/>
      <c r="J70" s="234"/>
    </row>
    <row r="72" spans="2:11" ht="12.75" customHeight="1">
      <c r="E72" s="213">
        <v>108452.59046922832</v>
      </c>
      <c r="F72" s="213">
        <v>118612.83535736376</v>
      </c>
      <c r="G72" s="235">
        <f t="shared" ref="G72:G96" si="43">+E72-F72</f>
        <v>-10160.244888135436</v>
      </c>
      <c r="H72" s="235"/>
      <c r="I72" s="236"/>
      <c r="J72" s="237"/>
    </row>
    <row r="73" spans="2:11" ht="12.75" customHeight="1">
      <c r="E73" s="213">
        <v>563423.59576338867</v>
      </c>
      <c r="F73" s="213">
        <v>616009.3144662733</v>
      </c>
      <c r="G73" s="235">
        <f t="shared" si="43"/>
        <v>-52585.718702884624</v>
      </c>
      <c r="H73" s="235"/>
      <c r="I73" s="236"/>
      <c r="J73" s="237"/>
    </row>
    <row r="74" spans="2:11" ht="12.75" customHeight="1">
      <c r="E74" s="213">
        <v>1385898.5101974602</v>
      </c>
      <c r="F74" s="213">
        <v>1515588.4402280932</v>
      </c>
      <c r="G74" s="235">
        <f t="shared" si="43"/>
        <v>-129689.930030633</v>
      </c>
      <c r="H74" s="235"/>
      <c r="I74" s="236"/>
      <c r="J74" s="237"/>
    </row>
    <row r="75" spans="2:11" ht="12.75" customHeight="1">
      <c r="E75" s="213">
        <v>1732706.9557914322</v>
      </c>
      <c r="F75" s="213">
        <v>1895603.111111111</v>
      </c>
      <c r="G75" s="235">
        <f t="shared" si="43"/>
        <v>-162896.15531967883</v>
      </c>
      <c r="H75" s="235"/>
      <c r="I75" s="236"/>
      <c r="J75" s="237"/>
    </row>
    <row r="76" spans="2:11" ht="12.75" customHeight="1">
      <c r="E76" s="213">
        <v>44166.093531237391</v>
      </c>
      <c r="F76" s="213">
        <v>48199.620253747162</v>
      </c>
      <c r="G76" s="235">
        <f t="shared" si="43"/>
        <v>-4033.5267225097705</v>
      </c>
      <c r="H76" s="235"/>
      <c r="I76" s="236"/>
      <c r="J76" s="237"/>
    </row>
    <row r="77" spans="2:11" ht="12.75" customHeight="1">
      <c r="E77" s="213">
        <v>179869.75016192306</v>
      </c>
      <c r="F77" s="213">
        <v>196553.85018087178</v>
      </c>
      <c r="G77" s="235">
        <f t="shared" si="43"/>
        <v>-16684.100018948724</v>
      </c>
      <c r="H77" s="235"/>
      <c r="I77" s="236"/>
      <c r="J77" s="237"/>
    </row>
    <row r="78" spans="2:11" ht="12.75" customHeight="1">
      <c r="E78" s="213">
        <v>9943.4463018575989</v>
      </c>
      <c r="F78" s="213">
        <v>10864.165928547483</v>
      </c>
      <c r="G78" s="235">
        <f t="shared" si="43"/>
        <v>-920.71962668988454</v>
      </c>
      <c r="H78" s="235"/>
      <c r="I78" s="236"/>
      <c r="J78" s="237"/>
    </row>
    <row r="79" spans="2:11" ht="12.75" customHeight="1">
      <c r="E79" s="213">
        <v>6401.6194166931018</v>
      </c>
      <c r="F79" s="213">
        <v>6986.5540517513546</v>
      </c>
      <c r="G79" s="235">
        <f t="shared" si="43"/>
        <v>-584.93463505825275</v>
      </c>
      <c r="H79" s="235"/>
      <c r="I79" s="236"/>
      <c r="J79" s="237"/>
    </row>
    <row r="80" spans="2:11" ht="12.75" customHeight="1">
      <c r="E80" s="213">
        <v>8441.9635566451543</v>
      </c>
      <c r="F80" s="213">
        <v>9219.7957260985368</v>
      </c>
      <c r="G80" s="235">
        <f t="shared" si="43"/>
        <v>-777.83216945338245</v>
      </c>
      <c r="H80" s="235"/>
      <c r="I80" s="236"/>
      <c r="J80" s="237"/>
    </row>
    <row r="81" spans="5:10" ht="12.75" customHeight="1">
      <c r="E81" s="213">
        <v>11848.855149661711</v>
      </c>
      <c r="F81" s="213">
        <v>12963.911111111111</v>
      </c>
      <c r="G81" s="235">
        <f t="shared" si="43"/>
        <v>-1115.0559614493995</v>
      </c>
      <c r="H81" s="235"/>
      <c r="I81" s="236"/>
      <c r="J81" s="237"/>
    </row>
    <row r="82" spans="5:10" ht="12.75" customHeight="1">
      <c r="E82" s="213">
        <v>175500.68121965264</v>
      </c>
      <c r="F82" s="213">
        <v>192128.21377777777</v>
      </c>
      <c r="G82" s="235">
        <f t="shared" si="43"/>
        <v>-16627.532558125124</v>
      </c>
      <c r="H82" s="235"/>
      <c r="I82" s="236"/>
      <c r="J82" s="237"/>
    </row>
    <row r="83" spans="5:10" ht="12.75" customHeight="1">
      <c r="E83" s="213">
        <v>426952.93022607185</v>
      </c>
      <c r="F83" s="213">
        <v>467887.49199999997</v>
      </c>
      <c r="G83" s="235">
        <f t="shared" si="43"/>
        <v>-40934.561773928115</v>
      </c>
      <c r="H83" s="235"/>
      <c r="I83" s="236"/>
      <c r="J83" s="237"/>
    </row>
    <row r="84" spans="5:10" ht="12.75" customHeight="1">
      <c r="E84" s="213">
        <v>2821.8344922068077</v>
      </c>
      <c r="F84" s="213">
        <v>3091.0444444444443</v>
      </c>
      <c r="G84" s="235">
        <f t="shared" si="43"/>
        <v>-269.20995223763657</v>
      </c>
      <c r="H84" s="235"/>
      <c r="I84" s="236"/>
      <c r="J84" s="237"/>
    </row>
    <row r="85" spans="5:10" ht="12.75" customHeight="1">
      <c r="E85" s="213">
        <v>124772.2053766459</v>
      </c>
      <c r="F85" s="213">
        <v>136430.26666666666</v>
      </c>
      <c r="G85" s="235">
        <f t="shared" si="43"/>
        <v>-11658.061290020763</v>
      </c>
      <c r="H85" s="235"/>
      <c r="I85" s="236"/>
      <c r="J85" s="237"/>
    </row>
    <row r="86" spans="5:10" ht="12.75" customHeight="1">
      <c r="E86" s="213">
        <v>295431.5183187396</v>
      </c>
      <c r="F86" s="213">
        <v>323935.0793333333</v>
      </c>
      <c r="G86" s="235">
        <f t="shared" si="43"/>
        <v>-28503.561014593695</v>
      </c>
      <c r="H86" s="235"/>
      <c r="I86" s="236"/>
      <c r="J86" s="237"/>
    </row>
    <row r="87" spans="5:10" ht="12.75" customHeight="1">
      <c r="E87" s="213">
        <v>674633.13832799566</v>
      </c>
      <c r="F87" s="213">
        <v>740035.4</v>
      </c>
      <c r="G87" s="235">
        <f t="shared" si="43"/>
        <v>-65402.261672004359</v>
      </c>
      <c r="H87" s="235"/>
      <c r="I87" s="236"/>
      <c r="J87" s="237"/>
    </row>
    <row r="88" spans="5:10" ht="12.75" customHeight="1">
      <c r="E88" s="213">
        <v>229518.46356971579</v>
      </c>
      <c r="F88" s="213">
        <v>251897.51111111112</v>
      </c>
      <c r="G88" s="235">
        <f t="shared" si="43"/>
        <v>-22379.047541395325</v>
      </c>
      <c r="H88" s="235"/>
      <c r="I88" s="236"/>
      <c r="J88" s="237"/>
    </row>
    <row r="89" spans="5:10" ht="12.75" customHeight="1">
      <c r="E89" s="213">
        <v>227656.2696364547</v>
      </c>
      <c r="F89" s="213">
        <v>249645.70777777777</v>
      </c>
      <c r="G89" s="235">
        <f t="shared" si="43"/>
        <v>-21989.438141323073</v>
      </c>
      <c r="H89" s="235"/>
      <c r="I89" s="236"/>
      <c r="J89" s="237"/>
    </row>
    <row r="90" spans="5:10" ht="12.75" customHeight="1">
      <c r="E90" s="213">
        <v>185741.34290994913</v>
      </c>
      <c r="F90" s="213">
        <v>205998.2169756256</v>
      </c>
      <c r="G90" s="235">
        <f t="shared" si="43"/>
        <v>-20256.874065676471</v>
      </c>
      <c r="H90" s="235"/>
      <c r="I90" s="236"/>
      <c r="J90" s="237"/>
    </row>
    <row r="91" spans="5:10" ht="12.75" customHeight="1">
      <c r="E91" s="213">
        <v>78830.35648290487</v>
      </c>
      <c r="F91" s="213">
        <v>87696.739331146033</v>
      </c>
      <c r="G91" s="235">
        <f t="shared" si="43"/>
        <v>-8866.3828482411627</v>
      </c>
      <c r="H91" s="235"/>
      <c r="I91" s="236"/>
      <c r="J91" s="237"/>
    </row>
    <row r="92" spans="5:10" ht="12.75" customHeight="1">
      <c r="E92" s="213">
        <v>36514.867050668458</v>
      </c>
      <c r="F92" s="213">
        <v>40500.711549338856</v>
      </c>
      <c r="G92" s="235">
        <f t="shared" si="43"/>
        <v>-3985.844498670398</v>
      </c>
      <c r="H92" s="235"/>
      <c r="I92" s="236"/>
      <c r="J92" s="237"/>
    </row>
    <row r="93" spans="5:10" ht="12.75" customHeight="1">
      <c r="E93" s="213">
        <v>17161.945194330583</v>
      </c>
      <c r="F93" s="213">
        <v>19038.576480221469</v>
      </c>
      <c r="G93" s="235">
        <f t="shared" si="43"/>
        <v>-1876.6312858908859</v>
      </c>
      <c r="H93" s="235"/>
      <c r="I93" s="236"/>
      <c r="J93" s="237"/>
    </row>
    <row r="94" spans="5:10" ht="12.75" customHeight="1">
      <c r="E94" s="213">
        <v>125057.12522754009</v>
      </c>
      <c r="F94" s="213">
        <v>138731.92205669577</v>
      </c>
      <c r="G94" s="235">
        <f t="shared" si="43"/>
        <v>-13674.796829155675</v>
      </c>
      <c r="H94" s="235"/>
      <c r="I94" s="236"/>
      <c r="J94" s="237"/>
    </row>
    <row r="95" spans="5:10" ht="12.75" customHeight="1">
      <c r="E95" s="213">
        <v>73430.617962627584</v>
      </c>
      <c r="F95" s="213">
        <v>81460.13871045578</v>
      </c>
      <c r="G95" s="235">
        <f t="shared" si="43"/>
        <v>-8029.5207478281955</v>
      </c>
      <c r="H95" s="235"/>
      <c r="I95" s="236"/>
      <c r="J95" s="237"/>
    </row>
    <row r="96" spans="5:10" ht="12.75" customHeight="1">
      <c r="E96" s="213">
        <v>85528.382607811436</v>
      </c>
      <c r="F96" s="213">
        <v>94880.774589956171</v>
      </c>
      <c r="G96" s="235">
        <f t="shared" si="43"/>
        <v>-9352.3919821447344</v>
      </c>
      <c r="H96" s="235"/>
      <c r="I96" s="236"/>
      <c r="J96" s="237"/>
    </row>
    <row r="97" spans="5:10" ht="12.75" customHeight="1">
      <c r="E97" s="235"/>
      <c r="F97" s="235"/>
      <c r="H97" s="235"/>
      <c r="I97" s="235"/>
      <c r="J97" s="235"/>
    </row>
    <row r="98" spans="5:10" ht="12.75" customHeight="1">
      <c r="E98" s="235">
        <f>SUM(E72:E97)</f>
        <v>6810705.0589428414</v>
      </c>
      <c r="F98" s="235">
        <f>SUM(F72:F97)</f>
        <v>7463959.3932195175</v>
      </c>
      <c r="G98" s="235">
        <f>SUM(G72:G97)</f>
        <v>-653254.33427667688</v>
      </c>
      <c r="H98" s="235"/>
      <c r="I98" s="235"/>
      <c r="J98" s="235"/>
    </row>
  </sheetData>
  <mergeCells count="2">
    <mergeCell ref="E13:G13"/>
    <mergeCell ref="T14:T16"/>
  </mergeCells>
  <phoneticPr fontId="62" type="noConversion"/>
  <pageMargins left="0.25" right="0.25" top="1" bottom="1" header="0.65" footer="0.5"/>
  <pageSetup scale="48" orientation="landscape" r:id="rId1"/>
  <headerFooter alignWithMargins="0">
    <oddHeader xml:space="preserve">&amp;R&amp;16AEP - SPP Formula Rate
Schedule 11 Revenue Requirements
Public Service Company of Oklahoma
Page: &amp;P of &amp;N
</oddHeader>
    <oddFooter>&amp;L&amp;A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5">
    <tabColor rgb="FFC00000"/>
  </sheetPr>
  <dimension ref="A1:P162"/>
  <sheetViews>
    <sheetView topLeftCell="A90" zoomScaleNormal="100" zoomScaleSheetLayoutView="75" workbookViewId="0">
      <selection activeCell="V52" sqref="V5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"&amp;RIGHT(MID(CELL("filename",$A$1),FIND("]",CELL("filename",$A$1))+1,256),1)&amp;" of "&amp;COUNT('P.001:P.xyz - blank'!$P$3)-1</f>
        <v>PSO Project 7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8356.3495367299729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8356.3495367299729</v>
      </c>
      <c r="O6" s="231"/>
      <c r="P6" s="231"/>
    </row>
    <row r="7" spans="1:16" ht="13.5" thickBot="1">
      <c r="C7" s="429" t="s">
        <v>46</v>
      </c>
      <c r="D7" s="430" t="s">
        <v>214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>DOES NOT MEET SPP $100,000 MINIMUM INVESTMENT FOR REGIONAL BPU SHARING.</v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A9" s="155"/>
      <c r="C9" s="438" t="s">
        <v>48</v>
      </c>
      <c r="D9" s="439" t="s">
        <v>86</v>
      </c>
      <c r="E9" s="575" t="s">
        <v>348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84424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2007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12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IF(D10=0,0,ROUND(D10/D13,0))</f>
        <v>2222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2007</v>
      </c>
      <c r="D17" s="471">
        <v>84424</v>
      </c>
      <c r="E17" s="472">
        <v>0</v>
      </c>
      <c r="F17" s="471">
        <v>84424</v>
      </c>
      <c r="G17" s="472">
        <v>0</v>
      </c>
      <c r="H17" s="479">
        <v>0</v>
      </c>
      <c r="I17" s="473">
        <f t="shared" ref="I17:I48" si="0">H17-G17</f>
        <v>0</v>
      </c>
      <c r="J17" s="473"/>
      <c r="K17" s="552">
        <v>0</v>
      </c>
      <c r="L17" s="475">
        <f t="shared" ref="L17:L48" si="1">IF(K17&lt;&gt;0,+G17-K17,0)</f>
        <v>0</v>
      </c>
      <c r="M17" s="552">
        <v>0</v>
      </c>
      <c r="N17" s="475">
        <f t="shared" ref="N17:N48" si="2">IF(M17&lt;&gt;0,+H17-M17,0)</f>
        <v>0</v>
      </c>
      <c r="O17" s="476">
        <f t="shared" ref="O17:O48" si="3">+N17-L17</f>
        <v>0</v>
      </c>
      <c r="P17" s="241"/>
    </row>
    <row r="18" spans="2:16">
      <c r="B18" s="160" t="str">
        <f>IF(D18=F17,"","IU")</f>
        <v/>
      </c>
      <c r="C18" s="470">
        <f>IF(D11="","-",+C17+1)</f>
        <v>2008</v>
      </c>
      <c r="D18" s="477">
        <v>84424</v>
      </c>
      <c r="E18" s="478">
        <v>1508</v>
      </c>
      <c r="F18" s="477">
        <v>82916</v>
      </c>
      <c r="G18" s="478">
        <v>0</v>
      </c>
      <c r="H18" s="479">
        <v>0</v>
      </c>
      <c r="I18" s="473">
        <f t="shared" si="0"/>
        <v>0</v>
      </c>
      <c r="J18" s="473"/>
      <c r="K18" s="474">
        <v>0</v>
      </c>
      <c r="L18" s="476">
        <f t="shared" si="1"/>
        <v>0</v>
      </c>
      <c r="M18" s="474">
        <v>0</v>
      </c>
      <c r="N18" s="476">
        <f t="shared" si="2"/>
        <v>0</v>
      </c>
      <c r="O18" s="476">
        <f t="shared" si="3"/>
        <v>0</v>
      </c>
      <c r="P18" s="241"/>
    </row>
    <row r="19" spans="2:16">
      <c r="B19" s="160" t="str">
        <f>IF(D19=F18,"","IU")</f>
        <v/>
      </c>
      <c r="C19" s="470">
        <f>IF(D11="","-",+C18+1)</f>
        <v>2009</v>
      </c>
      <c r="D19" s="477">
        <v>82916</v>
      </c>
      <c r="E19" s="478">
        <v>1508</v>
      </c>
      <c r="F19" s="477">
        <v>81408</v>
      </c>
      <c r="G19" s="478">
        <v>0</v>
      </c>
      <c r="H19" s="479">
        <v>0</v>
      </c>
      <c r="I19" s="473">
        <f t="shared" si="0"/>
        <v>0</v>
      </c>
      <c r="J19" s="473"/>
      <c r="K19" s="474">
        <v>0</v>
      </c>
      <c r="L19" s="476">
        <f t="shared" si="1"/>
        <v>0</v>
      </c>
      <c r="M19" s="474">
        <v>0</v>
      </c>
      <c r="N19" s="476">
        <f t="shared" si="2"/>
        <v>0</v>
      </c>
      <c r="O19" s="476">
        <f t="shared" si="3"/>
        <v>0</v>
      </c>
      <c r="P19" s="241"/>
    </row>
    <row r="20" spans="2:16">
      <c r="B20" s="160" t="str">
        <f t="shared" ref="B20:B72" si="4">IF(D20=F19,"","IU")</f>
        <v/>
      </c>
      <c r="C20" s="470">
        <f>IF(D11="","-",+C19+1)</f>
        <v>2010</v>
      </c>
      <c r="D20" s="477">
        <v>81408</v>
      </c>
      <c r="E20" s="478">
        <v>1508</v>
      </c>
      <c r="F20" s="477">
        <v>79900</v>
      </c>
      <c r="G20" s="478">
        <v>13037.291488737637</v>
      </c>
      <c r="H20" s="479">
        <v>13037.291488737637</v>
      </c>
      <c r="I20" s="473">
        <v>0</v>
      </c>
      <c r="J20" s="473"/>
      <c r="K20" s="538">
        <f t="shared" ref="K20:K25" si="5">G20</f>
        <v>13037.291488737637</v>
      </c>
      <c r="L20" s="539">
        <f t="shared" si="1"/>
        <v>0</v>
      </c>
      <c r="M20" s="538">
        <f t="shared" ref="M20:M25" si="6">H20</f>
        <v>13037.291488737637</v>
      </c>
      <c r="N20" s="476">
        <f t="shared" si="2"/>
        <v>0</v>
      </c>
      <c r="O20" s="476">
        <f t="shared" si="3"/>
        <v>0</v>
      </c>
      <c r="P20" s="241"/>
    </row>
    <row r="21" spans="2:16">
      <c r="B21" s="160" t="str">
        <f t="shared" si="4"/>
        <v/>
      </c>
      <c r="C21" s="470">
        <f>IF(D11="","-",+C20+1)</f>
        <v>2011</v>
      </c>
      <c r="D21" s="477">
        <v>79900</v>
      </c>
      <c r="E21" s="478">
        <v>1655</v>
      </c>
      <c r="F21" s="477">
        <v>78245</v>
      </c>
      <c r="G21" s="478">
        <v>13903.733792156472</v>
      </c>
      <c r="H21" s="479">
        <v>13903.733792156472</v>
      </c>
      <c r="I21" s="473">
        <f t="shared" si="0"/>
        <v>0</v>
      </c>
      <c r="J21" s="473"/>
      <c r="K21" s="474">
        <f t="shared" si="5"/>
        <v>13903.733792156472</v>
      </c>
      <c r="L21" s="548">
        <f t="shared" si="1"/>
        <v>0</v>
      </c>
      <c r="M21" s="474">
        <f t="shared" si="6"/>
        <v>13903.733792156472</v>
      </c>
      <c r="N21" s="476">
        <f t="shared" si="2"/>
        <v>0</v>
      </c>
      <c r="O21" s="476">
        <f t="shared" si="3"/>
        <v>0</v>
      </c>
      <c r="P21" s="241"/>
    </row>
    <row r="22" spans="2:16">
      <c r="B22" s="160" t="str">
        <f t="shared" si="4"/>
        <v/>
      </c>
      <c r="C22" s="470">
        <f>IF(D11="","-",+C21+1)</f>
        <v>2012</v>
      </c>
      <c r="D22" s="477">
        <v>78245</v>
      </c>
      <c r="E22" s="478">
        <v>1624</v>
      </c>
      <c r="F22" s="477">
        <v>76621</v>
      </c>
      <c r="G22" s="478">
        <v>12290.159159207155</v>
      </c>
      <c r="H22" s="479">
        <v>12290.159159207155</v>
      </c>
      <c r="I22" s="473">
        <f t="shared" si="0"/>
        <v>0</v>
      </c>
      <c r="J22" s="473"/>
      <c r="K22" s="474">
        <f t="shared" si="5"/>
        <v>12290.159159207155</v>
      </c>
      <c r="L22" s="548">
        <f t="shared" si="1"/>
        <v>0</v>
      </c>
      <c r="M22" s="474">
        <f t="shared" si="6"/>
        <v>12290.159159207155</v>
      </c>
      <c r="N22" s="476">
        <f t="shared" si="2"/>
        <v>0</v>
      </c>
      <c r="O22" s="476">
        <f t="shared" si="3"/>
        <v>0</v>
      </c>
      <c r="P22" s="241"/>
    </row>
    <row r="23" spans="2:16">
      <c r="B23" s="160" t="str">
        <f t="shared" si="4"/>
        <v/>
      </c>
      <c r="C23" s="470">
        <f>IF(D11="","-",+C22+1)</f>
        <v>2013</v>
      </c>
      <c r="D23" s="477">
        <v>76621</v>
      </c>
      <c r="E23" s="478">
        <v>1624</v>
      </c>
      <c r="F23" s="477">
        <v>74997</v>
      </c>
      <c r="G23" s="478">
        <v>12334.078606810854</v>
      </c>
      <c r="H23" s="479">
        <v>12334.078606810854</v>
      </c>
      <c r="I23" s="473">
        <v>0</v>
      </c>
      <c r="J23" s="473"/>
      <c r="K23" s="474">
        <f t="shared" si="5"/>
        <v>12334.078606810854</v>
      </c>
      <c r="L23" s="548">
        <f t="shared" ref="L23:L28" si="7">IF(K23&lt;&gt;0,+G23-K23,0)</f>
        <v>0</v>
      </c>
      <c r="M23" s="474">
        <f t="shared" si="6"/>
        <v>12334.078606810854</v>
      </c>
      <c r="N23" s="476">
        <f t="shared" ref="N23:N28" si="8">IF(M23&lt;&gt;0,+H23-M23,0)</f>
        <v>0</v>
      </c>
      <c r="O23" s="476">
        <f t="shared" ref="O23:O28" si="9">+N23-L23</f>
        <v>0</v>
      </c>
      <c r="P23" s="241"/>
    </row>
    <row r="24" spans="2:16">
      <c r="B24" s="160" t="str">
        <f t="shared" si="4"/>
        <v/>
      </c>
      <c r="C24" s="470">
        <f>IF(D11="","-",+C23+1)</f>
        <v>2014</v>
      </c>
      <c r="D24" s="477">
        <v>74997</v>
      </c>
      <c r="E24" s="478">
        <v>1624</v>
      </c>
      <c r="F24" s="477">
        <v>73373</v>
      </c>
      <c r="G24" s="478">
        <v>11724.436761777028</v>
      </c>
      <c r="H24" s="479">
        <v>11724.436761777028</v>
      </c>
      <c r="I24" s="473">
        <v>0</v>
      </c>
      <c r="J24" s="473"/>
      <c r="K24" s="474">
        <f t="shared" si="5"/>
        <v>11724.436761777028</v>
      </c>
      <c r="L24" s="548">
        <f t="shared" si="7"/>
        <v>0</v>
      </c>
      <c r="M24" s="474">
        <f t="shared" si="6"/>
        <v>11724.436761777028</v>
      </c>
      <c r="N24" s="476">
        <f t="shared" si="8"/>
        <v>0</v>
      </c>
      <c r="O24" s="476">
        <f t="shared" si="9"/>
        <v>0</v>
      </c>
      <c r="P24" s="241"/>
    </row>
    <row r="25" spans="2:16">
      <c r="B25" s="160" t="str">
        <f t="shared" si="4"/>
        <v/>
      </c>
      <c r="C25" s="470">
        <f>IF(D11="","-",+C24+1)</f>
        <v>2015</v>
      </c>
      <c r="D25" s="477">
        <v>73373</v>
      </c>
      <c r="E25" s="478">
        <v>1624</v>
      </c>
      <c r="F25" s="477">
        <v>71749</v>
      </c>
      <c r="G25" s="478">
        <v>11516.153501332747</v>
      </c>
      <c r="H25" s="479">
        <v>11516.153501332747</v>
      </c>
      <c r="I25" s="473">
        <v>0</v>
      </c>
      <c r="J25" s="473"/>
      <c r="K25" s="474">
        <f t="shared" si="5"/>
        <v>11516.153501332747</v>
      </c>
      <c r="L25" s="548">
        <f t="shared" si="7"/>
        <v>0</v>
      </c>
      <c r="M25" s="474">
        <f t="shared" si="6"/>
        <v>11516.153501332747</v>
      </c>
      <c r="N25" s="476">
        <f t="shared" si="8"/>
        <v>0</v>
      </c>
      <c r="O25" s="476">
        <f t="shared" si="9"/>
        <v>0</v>
      </c>
      <c r="P25" s="241"/>
    </row>
    <row r="26" spans="2:16">
      <c r="B26" s="160" t="str">
        <f t="shared" si="4"/>
        <v/>
      </c>
      <c r="C26" s="470">
        <f>IF(D11="","-",+C25+1)</f>
        <v>2016</v>
      </c>
      <c r="D26" s="477">
        <v>71749</v>
      </c>
      <c r="E26" s="478">
        <v>1624</v>
      </c>
      <c r="F26" s="477">
        <v>70125</v>
      </c>
      <c r="G26" s="478">
        <v>10821.569336122064</v>
      </c>
      <c r="H26" s="479">
        <v>10821.569336122064</v>
      </c>
      <c r="I26" s="473">
        <f t="shared" si="0"/>
        <v>0</v>
      </c>
      <c r="J26" s="473"/>
      <c r="K26" s="474">
        <f t="shared" ref="K26:K31" si="10">G26</f>
        <v>10821.569336122064</v>
      </c>
      <c r="L26" s="548">
        <f t="shared" si="7"/>
        <v>0</v>
      </c>
      <c r="M26" s="474">
        <f t="shared" ref="M26:M31" si="11">H26</f>
        <v>10821.569336122064</v>
      </c>
      <c r="N26" s="476">
        <f t="shared" si="8"/>
        <v>0</v>
      </c>
      <c r="O26" s="476">
        <f t="shared" si="9"/>
        <v>0</v>
      </c>
      <c r="P26" s="241"/>
    </row>
    <row r="27" spans="2:16">
      <c r="B27" s="160" t="str">
        <f t="shared" si="4"/>
        <v/>
      </c>
      <c r="C27" s="470">
        <f>IF(D11="","-",+C26+1)</f>
        <v>2017</v>
      </c>
      <c r="D27" s="477">
        <v>70125</v>
      </c>
      <c r="E27" s="478">
        <v>1835</v>
      </c>
      <c r="F27" s="477">
        <v>68290</v>
      </c>
      <c r="G27" s="478">
        <v>10525.630110064558</v>
      </c>
      <c r="H27" s="479">
        <v>10525.630110064558</v>
      </c>
      <c r="I27" s="473">
        <f t="shared" si="0"/>
        <v>0</v>
      </c>
      <c r="J27" s="473"/>
      <c r="K27" s="474">
        <f t="shared" si="10"/>
        <v>10525.630110064558</v>
      </c>
      <c r="L27" s="548">
        <f t="shared" si="7"/>
        <v>0</v>
      </c>
      <c r="M27" s="474">
        <f t="shared" si="11"/>
        <v>10525.630110064558</v>
      </c>
      <c r="N27" s="476">
        <f t="shared" si="8"/>
        <v>0</v>
      </c>
      <c r="O27" s="476">
        <f t="shared" si="9"/>
        <v>0</v>
      </c>
      <c r="P27" s="241"/>
    </row>
    <row r="28" spans="2:16">
      <c r="B28" s="160" t="str">
        <f t="shared" si="4"/>
        <v/>
      </c>
      <c r="C28" s="470">
        <f>IF(D11="","-",+C27+1)</f>
        <v>2018</v>
      </c>
      <c r="D28" s="477">
        <v>68290</v>
      </c>
      <c r="E28" s="478">
        <v>1876</v>
      </c>
      <c r="F28" s="477">
        <v>66414</v>
      </c>
      <c r="G28" s="478">
        <v>9942.0041745497692</v>
      </c>
      <c r="H28" s="479">
        <v>9942.0041745497692</v>
      </c>
      <c r="I28" s="473">
        <f t="shared" si="0"/>
        <v>0</v>
      </c>
      <c r="J28" s="473"/>
      <c r="K28" s="474">
        <f t="shared" si="10"/>
        <v>9942.0041745497692</v>
      </c>
      <c r="L28" s="548">
        <f t="shared" si="7"/>
        <v>0</v>
      </c>
      <c r="M28" s="474">
        <f t="shared" si="11"/>
        <v>9942.0041745497692</v>
      </c>
      <c r="N28" s="476">
        <f t="shared" si="8"/>
        <v>0</v>
      </c>
      <c r="O28" s="476">
        <f t="shared" si="9"/>
        <v>0</v>
      </c>
      <c r="P28" s="241"/>
    </row>
    <row r="29" spans="2:16">
      <c r="B29" s="160" t="str">
        <f t="shared" si="4"/>
        <v/>
      </c>
      <c r="C29" s="470">
        <f>IF(D11="","-",+C28+1)</f>
        <v>2019</v>
      </c>
      <c r="D29" s="477">
        <v>66414</v>
      </c>
      <c r="E29" s="478">
        <v>2111</v>
      </c>
      <c r="F29" s="477">
        <v>64303</v>
      </c>
      <c r="G29" s="478">
        <v>9408.7099366610164</v>
      </c>
      <c r="H29" s="479">
        <v>9408.7099366610164</v>
      </c>
      <c r="I29" s="473">
        <f t="shared" si="0"/>
        <v>0</v>
      </c>
      <c r="J29" s="473"/>
      <c r="K29" s="474">
        <f t="shared" si="10"/>
        <v>9408.7099366610164</v>
      </c>
      <c r="L29" s="548">
        <f t="shared" ref="L29" si="12">IF(K29&lt;&gt;0,+G29-K29,0)</f>
        <v>0</v>
      </c>
      <c r="M29" s="474">
        <f t="shared" si="11"/>
        <v>9408.7099366610164</v>
      </c>
      <c r="N29" s="476">
        <f t="shared" ref="N29" si="13">IF(M29&lt;&gt;0,+H29-M29,0)</f>
        <v>0</v>
      </c>
      <c r="O29" s="476">
        <f t="shared" ref="O29" si="14">+N29-L29</f>
        <v>0</v>
      </c>
      <c r="P29" s="241"/>
    </row>
    <row r="30" spans="2:16">
      <c r="B30" s="160" t="str">
        <f t="shared" si="4"/>
        <v>IU</v>
      </c>
      <c r="C30" s="470">
        <f>IF(D11="","-",+C29+1)</f>
        <v>2020</v>
      </c>
      <c r="D30" s="477">
        <v>64538</v>
      </c>
      <c r="E30" s="478">
        <v>2010</v>
      </c>
      <c r="F30" s="477">
        <v>62528</v>
      </c>
      <c r="G30" s="478">
        <v>8871.8674914200565</v>
      </c>
      <c r="H30" s="479">
        <v>8871.8674914200565</v>
      </c>
      <c r="I30" s="473">
        <f t="shared" si="0"/>
        <v>0</v>
      </c>
      <c r="J30" s="473"/>
      <c r="K30" s="474">
        <f t="shared" si="10"/>
        <v>8871.8674914200565</v>
      </c>
      <c r="L30" s="548">
        <f t="shared" ref="L30" si="15">IF(K30&lt;&gt;0,+G30-K30,0)</f>
        <v>0</v>
      </c>
      <c r="M30" s="474">
        <f t="shared" si="11"/>
        <v>8871.8674914200565</v>
      </c>
      <c r="N30" s="476">
        <f t="shared" si="2"/>
        <v>0</v>
      </c>
      <c r="O30" s="476">
        <f t="shared" si="3"/>
        <v>0</v>
      </c>
      <c r="P30" s="241"/>
    </row>
    <row r="31" spans="2:16">
      <c r="B31" s="160" t="str">
        <f t="shared" si="4"/>
        <v>IU</v>
      </c>
      <c r="C31" s="470">
        <f>IF(D11="","-",+C30+1)</f>
        <v>2021</v>
      </c>
      <c r="D31" s="477">
        <v>62293</v>
      </c>
      <c r="E31" s="478">
        <v>1963</v>
      </c>
      <c r="F31" s="477">
        <v>60330</v>
      </c>
      <c r="G31" s="478">
        <v>8467.8802590192263</v>
      </c>
      <c r="H31" s="479">
        <v>8467.8802590192263</v>
      </c>
      <c r="I31" s="473">
        <f t="shared" si="0"/>
        <v>0</v>
      </c>
      <c r="J31" s="473"/>
      <c r="K31" s="474">
        <f t="shared" si="10"/>
        <v>8467.8802590192263</v>
      </c>
      <c r="L31" s="548">
        <f t="shared" ref="L31" si="16">IF(K31&lt;&gt;0,+G31-K31,0)</f>
        <v>0</v>
      </c>
      <c r="M31" s="474">
        <f t="shared" si="11"/>
        <v>8467.8802590192263</v>
      </c>
      <c r="N31" s="476">
        <f t="shared" si="2"/>
        <v>0</v>
      </c>
      <c r="O31" s="476">
        <f t="shared" si="3"/>
        <v>0</v>
      </c>
      <c r="P31" s="241"/>
    </row>
    <row r="32" spans="2:16">
      <c r="B32" s="160" t="str">
        <f t="shared" si="4"/>
        <v/>
      </c>
      <c r="C32" s="470">
        <f>IF(D11="","-",+C31+1)</f>
        <v>2022</v>
      </c>
      <c r="D32" s="477">
        <v>60330</v>
      </c>
      <c r="E32" s="478">
        <v>2010</v>
      </c>
      <c r="F32" s="477">
        <v>58320</v>
      </c>
      <c r="G32" s="478">
        <v>8297.5518554789269</v>
      </c>
      <c r="H32" s="479">
        <v>8297.5518554789269</v>
      </c>
      <c r="I32" s="473">
        <f t="shared" si="0"/>
        <v>0</v>
      </c>
      <c r="J32" s="473"/>
      <c r="K32" s="474">
        <f t="shared" ref="K32" si="17">G32</f>
        <v>8297.5518554789269</v>
      </c>
      <c r="L32" s="548">
        <f t="shared" ref="L32" si="18">IF(K32&lt;&gt;0,+G32-K32,0)</f>
        <v>0</v>
      </c>
      <c r="M32" s="474">
        <f t="shared" ref="M32" si="19">H32</f>
        <v>8297.5518554789269</v>
      </c>
      <c r="N32" s="476">
        <f t="shared" si="2"/>
        <v>0</v>
      </c>
      <c r="O32" s="476">
        <f t="shared" si="3"/>
        <v>0</v>
      </c>
      <c r="P32" s="241"/>
    </row>
    <row r="33" spans="2:16">
      <c r="B33" s="160" t="str">
        <f t="shared" si="4"/>
        <v/>
      </c>
      <c r="C33" s="470">
        <f>IF(D11="","-",+C32+1)</f>
        <v>2023</v>
      </c>
      <c r="D33" s="477">
        <v>58320</v>
      </c>
      <c r="E33" s="478">
        <v>2165</v>
      </c>
      <c r="F33" s="477">
        <v>56155</v>
      </c>
      <c r="G33" s="478">
        <v>8867.6018741323824</v>
      </c>
      <c r="H33" s="479">
        <v>8867.6018741323824</v>
      </c>
      <c r="I33" s="473">
        <f t="shared" si="0"/>
        <v>0</v>
      </c>
      <c r="J33" s="473"/>
      <c r="K33" s="474">
        <f t="shared" ref="K33" si="20">G33</f>
        <v>8867.6018741323824</v>
      </c>
      <c r="L33" s="548">
        <f t="shared" ref="L33" si="21">IF(K33&lt;&gt;0,+G33-K33,0)</f>
        <v>0</v>
      </c>
      <c r="M33" s="474">
        <f t="shared" ref="M33" si="22">H33</f>
        <v>8867.6018741323824</v>
      </c>
      <c r="N33" s="476">
        <f t="shared" ref="N33" si="23">IF(M33&lt;&gt;0,+H33-M33,0)</f>
        <v>0</v>
      </c>
      <c r="O33" s="476">
        <f t="shared" ref="O33" si="24">+N33-L33</f>
        <v>0</v>
      </c>
      <c r="P33" s="241"/>
    </row>
    <row r="34" spans="2:16">
      <c r="B34" s="160" t="str">
        <f t="shared" si="4"/>
        <v/>
      </c>
      <c r="C34" s="631">
        <f>IF(D11="","-",+C33+1)</f>
        <v>2024</v>
      </c>
      <c r="D34" s="483">
        <f>IF(F33+SUM(E$17:E33)=D$10,F33,D$10-SUM(E$17:E33))</f>
        <v>56155</v>
      </c>
      <c r="E34" s="482">
        <f>IF(+I14&lt;F33,I14,D34)</f>
        <v>2222</v>
      </c>
      <c r="F34" s="483">
        <f t="shared" ref="F34:F48" si="25">+D34-E34</f>
        <v>53933</v>
      </c>
      <c r="G34" s="484">
        <f t="shared" ref="G34:G72" si="26">+I$12*F34+E34</f>
        <v>8356.3495367299729</v>
      </c>
      <c r="H34" s="453">
        <f t="shared" ref="H34:H72" si="27">+I$13*F34+E34</f>
        <v>8356.3495367299729</v>
      </c>
      <c r="I34" s="473">
        <f t="shared" si="0"/>
        <v>0</v>
      </c>
      <c r="J34" s="473"/>
      <c r="K34" s="485"/>
      <c r="L34" s="476">
        <f t="shared" si="1"/>
        <v>0</v>
      </c>
      <c r="M34" s="485"/>
      <c r="N34" s="476">
        <f t="shared" si="2"/>
        <v>0</v>
      </c>
      <c r="O34" s="476">
        <f t="shared" si="3"/>
        <v>0</v>
      </c>
      <c r="P34" s="241"/>
    </row>
    <row r="35" spans="2:16">
      <c r="B35" s="160" t="str">
        <f t="shared" si="4"/>
        <v/>
      </c>
      <c r="C35" s="470">
        <f>IF(D11="","-",+C34+1)</f>
        <v>2025</v>
      </c>
      <c r="D35" s="483">
        <f>IF(F34+SUM(E$17:E34)=D$10,F34,D$10-SUM(E$17:E34))</f>
        <v>53933</v>
      </c>
      <c r="E35" s="482">
        <f>IF(+I14&lt;F34,I14,D35)</f>
        <v>2222</v>
      </c>
      <c r="F35" s="483">
        <f t="shared" si="25"/>
        <v>51711</v>
      </c>
      <c r="G35" s="484">
        <f t="shared" si="26"/>
        <v>8103.6188399281273</v>
      </c>
      <c r="H35" s="453">
        <f t="shared" si="27"/>
        <v>8103.6188399281273</v>
      </c>
      <c r="I35" s="473">
        <f t="shared" si="0"/>
        <v>0</v>
      </c>
      <c r="J35" s="473"/>
      <c r="K35" s="485"/>
      <c r="L35" s="476">
        <f t="shared" si="1"/>
        <v>0</v>
      </c>
      <c r="M35" s="485"/>
      <c r="N35" s="476">
        <f t="shared" si="2"/>
        <v>0</v>
      </c>
      <c r="O35" s="476">
        <f t="shared" si="3"/>
        <v>0</v>
      </c>
      <c r="P35" s="241"/>
    </row>
    <row r="36" spans="2:16">
      <c r="B36" s="160" t="str">
        <f t="shared" si="4"/>
        <v/>
      </c>
      <c r="C36" s="470">
        <f>IF(D11="","-",+C35+1)</f>
        <v>2026</v>
      </c>
      <c r="D36" s="483">
        <f>IF(F35+SUM(E$17:E35)=D$10,F35,D$10-SUM(E$17:E35))</f>
        <v>51711</v>
      </c>
      <c r="E36" s="482">
        <f>IF(+I14&lt;F35,I14,D36)</f>
        <v>2222</v>
      </c>
      <c r="F36" s="483">
        <f t="shared" si="25"/>
        <v>49489</v>
      </c>
      <c r="G36" s="484">
        <f t="shared" si="26"/>
        <v>7850.8881431262807</v>
      </c>
      <c r="H36" s="453">
        <f t="shared" si="27"/>
        <v>7850.8881431262807</v>
      </c>
      <c r="I36" s="473">
        <f t="shared" si="0"/>
        <v>0</v>
      </c>
      <c r="J36" s="473"/>
      <c r="K36" s="485"/>
      <c r="L36" s="476">
        <f t="shared" si="1"/>
        <v>0</v>
      </c>
      <c r="M36" s="485"/>
      <c r="N36" s="476">
        <f t="shared" si="2"/>
        <v>0</v>
      </c>
      <c r="O36" s="476">
        <f t="shared" si="3"/>
        <v>0</v>
      </c>
      <c r="P36" s="241"/>
    </row>
    <row r="37" spans="2:16">
      <c r="B37" s="160" t="str">
        <f t="shared" si="4"/>
        <v/>
      </c>
      <c r="C37" s="470">
        <f>IF(D11="","-",+C36+1)</f>
        <v>2027</v>
      </c>
      <c r="D37" s="483">
        <f>IF(F36+SUM(E$17:E36)=D$10,F36,D$10-SUM(E$17:E36))</f>
        <v>49489</v>
      </c>
      <c r="E37" s="482">
        <f>IF(+I14&lt;F36,I14,D37)</f>
        <v>2222</v>
      </c>
      <c r="F37" s="483">
        <f t="shared" si="25"/>
        <v>47267</v>
      </c>
      <c r="G37" s="484">
        <f t="shared" si="26"/>
        <v>7598.1574463244333</v>
      </c>
      <c r="H37" s="453">
        <f t="shared" si="27"/>
        <v>7598.1574463244333</v>
      </c>
      <c r="I37" s="473">
        <f t="shared" si="0"/>
        <v>0</v>
      </c>
      <c r="J37" s="473"/>
      <c r="K37" s="485"/>
      <c r="L37" s="476">
        <f t="shared" si="1"/>
        <v>0</v>
      </c>
      <c r="M37" s="485"/>
      <c r="N37" s="476">
        <f t="shared" si="2"/>
        <v>0</v>
      </c>
      <c r="O37" s="476">
        <f t="shared" si="3"/>
        <v>0</v>
      </c>
      <c r="P37" s="241"/>
    </row>
    <row r="38" spans="2:16">
      <c r="B38" s="160" t="str">
        <f t="shared" si="4"/>
        <v/>
      </c>
      <c r="C38" s="470">
        <f>IF(D11="","-",+C37+1)</f>
        <v>2028</v>
      </c>
      <c r="D38" s="483">
        <f>IF(F37+SUM(E$17:E37)=D$10,F37,D$10-SUM(E$17:E37))</f>
        <v>47267</v>
      </c>
      <c r="E38" s="482">
        <f>IF(+I14&lt;F37,I14,D38)</f>
        <v>2222</v>
      </c>
      <c r="F38" s="483">
        <f t="shared" si="25"/>
        <v>45045</v>
      </c>
      <c r="G38" s="484">
        <f t="shared" si="26"/>
        <v>7345.4267495225868</v>
      </c>
      <c r="H38" s="453">
        <f t="shared" si="27"/>
        <v>7345.4267495225868</v>
      </c>
      <c r="I38" s="473">
        <f t="shared" si="0"/>
        <v>0</v>
      </c>
      <c r="J38" s="473"/>
      <c r="K38" s="485"/>
      <c r="L38" s="476">
        <f t="shared" si="1"/>
        <v>0</v>
      </c>
      <c r="M38" s="485"/>
      <c r="N38" s="476">
        <f t="shared" si="2"/>
        <v>0</v>
      </c>
      <c r="O38" s="476">
        <f t="shared" si="3"/>
        <v>0</v>
      </c>
      <c r="P38" s="241"/>
    </row>
    <row r="39" spans="2:16">
      <c r="B39" s="160" t="str">
        <f t="shared" si="4"/>
        <v/>
      </c>
      <c r="C39" s="470">
        <f>IF(D11="","-",+C38+1)</f>
        <v>2029</v>
      </c>
      <c r="D39" s="483">
        <f>IF(F38+SUM(E$17:E38)=D$10,F38,D$10-SUM(E$17:E38))</f>
        <v>45045</v>
      </c>
      <c r="E39" s="482">
        <f>IF(+I14&lt;F38,I14,D39)</f>
        <v>2222</v>
      </c>
      <c r="F39" s="483">
        <f t="shared" si="25"/>
        <v>42823</v>
      </c>
      <c r="G39" s="484">
        <f t="shared" si="26"/>
        <v>7092.6960527207402</v>
      </c>
      <c r="H39" s="453">
        <f t="shared" si="27"/>
        <v>7092.6960527207402</v>
      </c>
      <c r="I39" s="473">
        <f t="shared" si="0"/>
        <v>0</v>
      </c>
      <c r="J39" s="473"/>
      <c r="K39" s="485"/>
      <c r="L39" s="476">
        <f t="shared" si="1"/>
        <v>0</v>
      </c>
      <c r="M39" s="485"/>
      <c r="N39" s="476">
        <f t="shared" si="2"/>
        <v>0</v>
      </c>
      <c r="O39" s="476">
        <f t="shared" si="3"/>
        <v>0</v>
      </c>
      <c r="P39" s="241"/>
    </row>
    <row r="40" spans="2:16">
      <c r="B40" s="160" t="str">
        <f t="shared" si="4"/>
        <v/>
      </c>
      <c r="C40" s="470">
        <f>IF(D11="","-",+C39+1)</f>
        <v>2030</v>
      </c>
      <c r="D40" s="483">
        <f>IF(F39+SUM(E$17:E39)=D$10,F39,D$10-SUM(E$17:E39))</f>
        <v>42823</v>
      </c>
      <c r="E40" s="482">
        <f>IF(+I14&lt;F39,I14,D40)</f>
        <v>2222</v>
      </c>
      <c r="F40" s="483">
        <f t="shared" si="25"/>
        <v>40601</v>
      </c>
      <c r="G40" s="484">
        <f t="shared" si="26"/>
        <v>6839.9653559188937</v>
      </c>
      <c r="H40" s="453">
        <f t="shared" si="27"/>
        <v>6839.9653559188937</v>
      </c>
      <c r="I40" s="473">
        <f t="shared" si="0"/>
        <v>0</v>
      </c>
      <c r="J40" s="473"/>
      <c r="K40" s="485"/>
      <c r="L40" s="476">
        <f t="shared" si="1"/>
        <v>0</v>
      </c>
      <c r="M40" s="485"/>
      <c r="N40" s="476">
        <f t="shared" si="2"/>
        <v>0</v>
      </c>
      <c r="O40" s="476">
        <f t="shared" si="3"/>
        <v>0</v>
      </c>
      <c r="P40" s="241"/>
    </row>
    <row r="41" spans="2:16">
      <c r="B41" s="160" t="str">
        <f t="shared" si="4"/>
        <v/>
      </c>
      <c r="C41" s="470">
        <f>IF(D11="","-",+C40+1)</f>
        <v>2031</v>
      </c>
      <c r="D41" s="483">
        <f>IF(F40+SUM(E$17:E40)=D$10,F40,D$10-SUM(E$17:E40))</f>
        <v>40601</v>
      </c>
      <c r="E41" s="482">
        <f>IF(+I14&lt;F40,I14,D41)</f>
        <v>2222</v>
      </c>
      <c r="F41" s="483">
        <f t="shared" si="25"/>
        <v>38379</v>
      </c>
      <c r="G41" s="484">
        <f t="shared" si="26"/>
        <v>6587.2346591170462</v>
      </c>
      <c r="H41" s="453">
        <f t="shared" si="27"/>
        <v>6587.2346591170462</v>
      </c>
      <c r="I41" s="473">
        <f t="shared" si="0"/>
        <v>0</v>
      </c>
      <c r="J41" s="473"/>
      <c r="K41" s="485"/>
      <c r="L41" s="476">
        <f t="shared" si="1"/>
        <v>0</v>
      </c>
      <c r="M41" s="485"/>
      <c r="N41" s="476">
        <f t="shared" si="2"/>
        <v>0</v>
      </c>
      <c r="O41" s="476">
        <f t="shared" si="3"/>
        <v>0</v>
      </c>
      <c r="P41" s="241"/>
    </row>
    <row r="42" spans="2:16">
      <c r="B42" s="160" t="str">
        <f t="shared" si="4"/>
        <v/>
      </c>
      <c r="C42" s="470">
        <f>IF(D11="","-",+C41+1)</f>
        <v>2032</v>
      </c>
      <c r="D42" s="483">
        <f>IF(F41+SUM(E$17:E41)=D$10,F41,D$10-SUM(E$17:E41))</f>
        <v>38379</v>
      </c>
      <c r="E42" s="482">
        <f>IF(+I14&lt;F41,I14,D42)</f>
        <v>2222</v>
      </c>
      <c r="F42" s="483">
        <f t="shared" si="25"/>
        <v>36157</v>
      </c>
      <c r="G42" s="484">
        <f t="shared" si="26"/>
        <v>6334.5039623151997</v>
      </c>
      <c r="H42" s="453">
        <f t="shared" si="27"/>
        <v>6334.5039623151997</v>
      </c>
      <c r="I42" s="473">
        <f t="shared" si="0"/>
        <v>0</v>
      </c>
      <c r="J42" s="473"/>
      <c r="K42" s="485"/>
      <c r="L42" s="476">
        <f t="shared" si="1"/>
        <v>0</v>
      </c>
      <c r="M42" s="485"/>
      <c r="N42" s="476">
        <f t="shared" si="2"/>
        <v>0</v>
      </c>
      <c r="O42" s="476">
        <f t="shared" si="3"/>
        <v>0</v>
      </c>
      <c r="P42" s="241"/>
    </row>
    <row r="43" spans="2:16">
      <c r="B43" s="160" t="str">
        <f t="shared" si="4"/>
        <v/>
      </c>
      <c r="C43" s="470">
        <f>IF(D11="","-",+C42+1)</f>
        <v>2033</v>
      </c>
      <c r="D43" s="483">
        <f>IF(F42+SUM(E$17:E42)=D$10,F42,D$10-SUM(E$17:E42))</f>
        <v>36157</v>
      </c>
      <c r="E43" s="482">
        <f>IF(+I14&lt;F42,I14,D43)</f>
        <v>2222</v>
      </c>
      <c r="F43" s="483">
        <f t="shared" si="25"/>
        <v>33935</v>
      </c>
      <c r="G43" s="484">
        <f t="shared" si="26"/>
        <v>6081.7732655133532</v>
      </c>
      <c r="H43" s="453">
        <f t="shared" si="27"/>
        <v>6081.7732655133532</v>
      </c>
      <c r="I43" s="473">
        <f t="shared" si="0"/>
        <v>0</v>
      </c>
      <c r="J43" s="473"/>
      <c r="K43" s="485"/>
      <c r="L43" s="476">
        <f t="shared" si="1"/>
        <v>0</v>
      </c>
      <c r="M43" s="485"/>
      <c r="N43" s="476">
        <f t="shared" si="2"/>
        <v>0</v>
      </c>
      <c r="O43" s="476">
        <f t="shared" si="3"/>
        <v>0</v>
      </c>
      <c r="P43" s="241"/>
    </row>
    <row r="44" spans="2:16">
      <c r="B44" s="160" t="str">
        <f t="shared" si="4"/>
        <v/>
      </c>
      <c r="C44" s="470">
        <f>IF(D11="","-",+C43+1)</f>
        <v>2034</v>
      </c>
      <c r="D44" s="483">
        <f>IF(F43+SUM(E$17:E43)=D$10,F43,D$10-SUM(E$17:E43))</f>
        <v>33935</v>
      </c>
      <c r="E44" s="482">
        <f>IF(+I14&lt;F43,I14,D44)</f>
        <v>2222</v>
      </c>
      <c r="F44" s="483">
        <f t="shared" si="25"/>
        <v>31713</v>
      </c>
      <c r="G44" s="484">
        <f t="shared" si="26"/>
        <v>5829.0425687115057</v>
      </c>
      <c r="H44" s="453">
        <f t="shared" si="27"/>
        <v>5829.0425687115057</v>
      </c>
      <c r="I44" s="473">
        <f t="shared" si="0"/>
        <v>0</v>
      </c>
      <c r="J44" s="473"/>
      <c r="K44" s="485"/>
      <c r="L44" s="476">
        <f t="shared" si="1"/>
        <v>0</v>
      </c>
      <c r="M44" s="485"/>
      <c r="N44" s="476">
        <f t="shared" si="2"/>
        <v>0</v>
      </c>
      <c r="O44" s="476">
        <f t="shared" si="3"/>
        <v>0</v>
      </c>
      <c r="P44" s="241"/>
    </row>
    <row r="45" spans="2:16">
      <c r="B45" s="160" t="str">
        <f t="shared" si="4"/>
        <v/>
      </c>
      <c r="C45" s="470">
        <f>IF(D11="","-",+C44+1)</f>
        <v>2035</v>
      </c>
      <c r="D45" s="483">
        <f>IF(F44+SUM(E$17:E44)=D$10,F44,D$10-SUM(E$17:E44))</f>
        <v>31713</v>
      </c>
      <c r="E45" s="482">
        <f>IF(+I14&lt;F44,I14,D45)</f>
        <v>2222</v>
      </c>
      <c r="F45" s="483">
        <f t="shared" si="25"/>
        <v>29491</v>
      </c>
      <c r="G45" s="484">
        <f t="shared" si="26"/>
        <v>5576.3118719096601</v>
      </c>
      <c r="H45" s="453">
        <f t="shared" si="27"/>
        <v>5576.3118719096601</v>
      </c>
      <c r="I45" s="473">
        <f t="shared" si="0"/>
        <v>0</v>
      </c>
      <c r="J45" s="473"/>
      <c r="K45" s="485"/>
      <c r="L45" s="476">
        <f t="shared" si="1"/>
        <v>0</v>
      </c>
      <c r="M45" s="485"/>
      <c r="N45" s="476">
        <f t="shared" si="2"/>
        <v>0</v>
      </c>
      <c r="O45" s="476">
        <f t="shared" si="3"/>
        <v>0</v>
      </c>
      <c r="P45" s="241"/>
    </row>
    <row r="46" spans="2:16">
      <c r="B46" s="160" t="str">
        <f t="shared" si="4"/>
        <v/>
      </c>
      <c r="C46" s="470">
        <f>IF(D11="","-",+C45+1)</f>
        <v>2036</v>
      </c>
      <c r="D46" s="483">
        <f>IF(F45+SUM(E$17:E45)=D$10,F45,D$10-SUM(E$17:E45))</f>
        <v>29491</v>
      </c>
      <c r="E46" s="482">
        <f>IF(+I14&lt;F45,I14,D46)</f>
        <v>2222</v>
      </c>
      <c r="F46" s="483">
        <f t="shared" si="25"/>
        <v>27269</v>
      </c>
      <c r="G46" s="484">
        <f t="shared" si="26"/>
        <v>5323.5811751078127</v>
      </c>
      <c r="H46" s="453">
        <f t="shared" si="27"/>
        <v>5323.5811751078127</v>
      </c>
      <c r="I46" s="473">
        <f t="shared" si="0"/>
        <v>0</v>
      </c>
      <c r="J46" s="473"/>
      <c r="K46" s="485"/>
      <c r="L46" s="476">
        <f t="shared" si="1"/>
        <v>0</v>
      </c>
      <c r="M46" s="485"/>
      <c r="N46" s="476">
        <f t="shared" si="2"/>
        <v>0</v>
      </c>
      <c r="O46" s="476">
        <f t="shared" si="3"/>
        <v>0</v>
      </c>
      <c r="P46" s="241"/>
    </row>
    <row r="47" spans="2:16">
      <c r="B47" s="160" t="str">
        <f t="shared" si="4"/>
        <v/>
      </c>
      <c r="C47" s="470">
        <f>IF(D11="","-",+C46+1)</f>
        <v>2037</v>
      </c>
      <c r="D47" s="483">
        <f>IF(F46+SUM(E$17:E46)=D$10,F46,D$10-SUM(E$17:E46))</f>
        <v>27269</v>
      </c>
      <c r="E47" s="482">
        <f>IF(+I14&lt;F46,I14,D47)</f>
        <v>2222</v>
      </c>
      <c r="F47" s="483">
        <f t="shared" si="25"/>
        <v>25047</v>
      </c>
      <c r="G47" s="484">
        <f t="shared" si="26"/>
        <v>5070.8504783059652</v>
      </c>
      <c r="H47" s="453">
        <f t="shared" si="27"/>
        <v>5070.8504783059652</v>
      </c>
      <c r="I47" s="473">
        <f t="shared" si="0"/>
        <v>0</v>
      </c>
      <c r="J47" s="473"/>
      <c r="K47" s="485"/>
      <c r="L47" s="476">
        <f t="shared" si="1"/>
        <v>0</v>
      </c>
      <c r="M47" s="485"/>
      <c r="N47" s="476">
        <f t="shared" si="2"/>
        <v>0</v>
      </c>
      <c r="O47" s="476">
        <f t="shared" si="3"/>
        <v>0</v>
      </c>
      <c r="P47" s="241"/>
    </row>
    <row r="48" spans="2:16">
      <c r="B48" s="160" t="str">
        <f t="shared" si="4"/>
        <v/>
      </c>
      <c r="C48" s="470">
        <f>IF(D11="","-",+C47+1)</f>
        <v>2038</v>
      </c>
      <c r="D48" s="483">
        <f>IF(F47+SUM(E$17:E47)=D$10,F47,D$10-SUM(E$17:E47))</f>
        <v>25047</v>
      </c>
      <c r="E48" s="482">
        <f>IF(+I14&lt;F47,I14,D48)</f>
        <v>2222</v>
      </c>
      <c r="F48" s="483">
        <f t="shared" si="25"/>
        <v>22825</v>
      </c>
      <c r="G48" s="484">
        <f t="shared" si="26"/>
        <v>4818.1197815041196</v>
      </c>
      <c r="H48" s="453">
        <f t="shared" si="27"/>
        <v>4818.1197815041196</v>
      </c>
      <c r="I48" s="473">
        <f t="shared" si="0"/>
        <v>0</v>
      </c>
      <c r="J48" s="473"/>
      <c r="K48" s="485"/>
      <c r="L48" s="476">
        <f t="shared" si="1"/>
        <v>0</v>
      </c>
      <c r="M48" s="485"/>
      <c r="N48" s="476">
        <f t="shared" si="2"/>
        <v>0</v>
      </c>
      <c r="O48" s="476">
        <f t="shared" si="3"/>
        <v>0</v>
      </c>
      <c r="P48" s="241"/>
    </row>
    <row r="49" spans="2:16">
      <c r="B49" s="160" t="str">
        <f t="shared" si="4"/>
        <v/>
      </c>
      <c r="C49" s="470">
        <f>IF(D11="","-",+C48+1)</f>
        <v>2039</v>
      </c>
      <c r="D49" s="483">
        <f>IF(F48+SUM(E$17:E48)=D$10,F48,D$10-SUM(E$17:E48))</f>
        <v>22825</v>
      </c>
      <c r="E49" s="482">
        <f>IF(+I14&lt;F48,I14,D49)</f>
        <v>2222</v>
      </c>
      <c r="F49" s="483">
        <f t="shared" ref="F49:F72" si="28">+D49-E49</f>
        <v>20603</v>
      </c>
      <c r="G49" s="484">
        <f t="shared" si="26"/>
        <v>4565.3890847022722</v>
      </c>
      <c r="H49" s="453">
        <f t="shared" si="27"/>
        <v>4565.3890847022722</v>
      </c>
      <c r="I49" s="473">
        <f t="shared" ref="I49:I72" si="29">H49-G49</f>
        <v>0</v>
      </c>
      <c r="J49" s="473"/>
      <c r="K49" s="485"/>
      <c r="L49" s="476">
        <f t="shared" ref="L49:L72" si="30">IF(K49&lt;&gt;0,+G49-K49,0)</f>
        <v>0</v>
      </c>
      <c r="M49" s="485"/>
      <c r="N49" s="476">
        <f t="shared" ref="N49:N72" si="31">IF(M49&lt;&gt;0,+H49-M49,0)</f>
        <v>0</v>
      </c>
      <c r="O49" s="476">
        <f t="shared" ref="O49:O72" si="32">+N49-L49</f>
        <v>0</v>
      </c>
      <c r="P49" s="241"/>
    </row>
    <row r="50" spans="2:16">
      <c r="B50" s="160" t="str">
        <f t="shared" si="4"/>
        <v/>
      </c>
      <c r="C50" s="470">
        <f>IF(D11="","-",+C49+1)</f>
        <v>2040</v>
      </c>
      <c r="D50" s="483">
        <f>IF(F49+SUM(E$17:E49)=D$10,F49,D$10-SUM(E$17:E49))</f>
        <v>20603</v>
      </c>
      <c r="E50" s="482">
        <f>IF(+I14&lt;F49,I14,D50)</f>
        <v>2222</v>
      </c>
      <c r="F50" s="483">
        <f t="shared" si="28"/>
        <v>18381</v>
      </c>
      <c r="G50" s="484">
        <f t="shared" si="26"/>
        <v>4312.6583879004256</v>
      </c>
      <c r="H50" s="453">
        <f t="shared" si="27"/>
        <v>4312.6583879004256</v>
      </c>
      <c r="I50" s="473">
        <f t="shared" si="29"/>
        <v>0</v>
      </c>
      <c r="J50" s="473"/>
      <c r="K50" s="485"/>
      <c r="L50" s="476">
        <f t="shared" si="30"/>
        <v>0</v>
      </c>
      <c r="M50" s="485"/>
      <c r="N50" s="476">
        <f t="shared" si="31"/>
        <v>0</v>
      </c>
      <c r="O50" s="476">
        <f t="shared" si="32"/>
        <v>0</v>
      </c>
      <c r="P50" s="241"/>
    </row>
    <row r="51" spans="2:16">
      <c r="B51" s="160" t="str">
        <f t="shared" si="4"/>
        <v/>
      </c>
      <c r="C51" s="470">
        <f>IF(D11="","-",+C50+1)</f>
        <v>2041</v>
      </c>
      <c r="D51" s="483">
        <f>IF(F50+SUM(E$17:E50)=D$10,F50,D$10-SUM(E$17:E50))</f>
        <v>18381</v>
      </c>
      <c r="E51" s="482">
        <f>IF(+I14&lt;F50,I14,D51)</f>
        <v>2222</v>
      </c>
      <c r="F51" s="483">
        <f t="shared" si="28"/>
        <v>16159</v>
      </c>
      <c r="G51" s="484">
        <f t="shared" si="26"/>
        <v>4059.9276910985791</v>
      </c>
      <c r="H51" s="453">
        <f t="shared" si="27"/>
        <v>4059.9276910985791</v>
      </c>
      <c r="I51" s="473">
        <f t="shared" si="29"/>
        <v>0</v>
      </c>
      <c r="J51" s="473"/>
      <c r="K51" s="485"/>
      <c r="L51" s="476">
        <f t="shared" si="30"/>
        <v>0</v>
      </c>
      <c r="M51" s="485"/>
      <c r="N51" s="476">
        <f t="shared" si="31"/>
        <v>0</v>
      </c>
      <c r="O51" s="476">
        <f t="shared" si="32"/>
        <v>0</v>
      </c>
      <c r="P51" s="241"/>
    </row>
    <row r="52" spans="2:16">
      <c r="B52" s="160" t="str">
        <f t="shared" si="4"/>
        <v/>
      </c>
      <c r="C52" s="470">
        <f>IF(D11="","-",+C51+1)</f>
        <v>2042</v>
      </c>
      <c r="D52" s="483">
        <f>IF(F51+SUM(E$17:E51)=D$10,F51,D$10-SUM(E$17:E51))</f>
        <v>16159</v>
      </c>
      <c r="E52" s="482">
        <f>IF(+I14&lt;F51,I14,D52)</f>
        <v>2222</v>
      </c>
      <c r="F52" s="483">
        <f t="shared" si="28"/>
        <v>13937</v>
      </c>
      <c r="G52" s="484">
        <f t="shared" si="26"/>
        <v>3807.1969942967321</v>
      </c>
      <c r="H52" s="453">
        <f t="shared" si="27"/>
        <v>3807.1969942967321</v>
      </c>
      <c r="I52" s="473">
        <f t="shared" si="29"/>
        <v>0</v>
      </c>
      <c r="J52" s="473"/>
      <c r="K52" s="485"/>
      <c r="L52" s="476">
        <f t="shared" si="30"/>
        <v>0</v>
      </c>
      <c r="M52" s="485"/>
      <c r="N52" s="476">
        <f t="shared" si="31"/>
        <v>0</v>
      </c>
      <c r="O52" s="476">
        <f t="shared" si="32"/>
        <v>0</v>
      </c>
      <c r="P52" s="241"/>
    </row>
    <row r="53" spans="2:16">
      <c r="B53" s="160" t="str">
        <f t="shared" si="4"/>
        <v/>
      </c>
      <c r="C53" s="470">
        <f>IF(D11="","-",+C52+1)</f>
        <v>2043</v>
      </c>
      <c r="D53" s="483">
        <f>IF(F52+SUM(E$17:E52)=D$10,F52,D$10-SUM(E$17:E52))</f>
        <v>13937</v>
      </c>
      <c r="E53" s="482">
        <f>IF(+I14&lt;F52,I14,D53)</f>
        <v>2222</v>
      </c>
      <c r="F53" s="483">
        <f t="shared" si="28"/>
        <v>11715</v>
      </c>
      <c r="G53" s="484">
        <f t="shared" si="26"/>
        <v>3554.4662974948851</v>
      </c>
      <c r="H53" s="453">
        <f t="shared" si="27"/>
        <v>3554.4662974948851</v>
      </c>
      <c r="I53" s="473">
        <f t="shared" si="29"/>
        <v>0</v>
      </c>
      <c r="J53" s="473"/>
      <c r="K53" s="485"/>
      <c r="L53" s="476">
        <f t="shared" si="30"/>
        <v>0</v>
      </c>
      <c r="M53" s="485"/>
      <c r="N53" s="476">
        <f t="shared" si="31"/>
        <v>0</v>
      </c>
      <c r="O53" s="476">
        <f t="shared" si="32"/>
        <v>0</v>
      </c>
      <c r="P53" s="241"/>
    </row>
    <row r="54" spans="2:16">
      <c r="B54" s="160" t="str">
        <f t="shared" si="4"/>
        <v/>
      </c>
      <c r="C54" s="470">
        <f>IF(D11="","-",+C53+1)</f>
        <v>2044</v>
      </c>
      <c r="D54" s="483">
        <f>IF(F53+SUM(E$17:E53)=D$10,F53,D$10-SUM(E$17:E53))</f>
        <v>11715</v>
      </c>
      <c r="E54" s="482">
        <f>IF(+I14&lt;F53,I14,D54)</f>
        <v>2222</v>
      </c>
      <c r="F54" s="483">
        <f t="shared" si="28"/>
        <v>9493</v>
      </c>
      <c r="G54" s="484">
        <f t="shared" si="26"/>
        <v>3301.7356006930386</v>
      </c>
      <c r="H54" s="453">
        <f t="shared" si="27"/>
        <v>3301.7356006930386</v>
      </c>
      <c r="I54" s="473">
        <f t="shared" si="29"/>
        <v>0</v>
      </c>
      <c r="J54" s="473"/>
      <c r="K54" s="485"/>
      <c r="L54" s="476">
        <f t="shared" si="30"/>
        <v>0</v>
      </c>
      <c r="M54" s="485"/>
      <c r="N54" s="476">
        <f t="shared" si="31"/>
        <v>0</v>
      </c>
      <c r="O54" s="476">
        <f t="shared" si="32"/>
        <v>0</v>
      </c>
      <c r="P54" s="241"/>
    </row>
    <row r="55" spans="2:16">
      <c r="B55" s="160" t="str">
        <f t="shared" si="4"/>
        <v/>
      </c>
      <c r="C55" s="470">
        <f>IF(D11="","-",+C54+1)</f>
        <v>2045</v>
      </c>
      <c r="D55" s="483">
        <f>IF(F54+SUM(E$17:E54)=D$10,F54,D$10-SUM(E$17:E54))</f>
        <v>9493</v>
      </c>
      <c r="E55" s="482">
        <f>IF(+I14&lt;F54,I14,D55)</f>
        <v>2222</v>
      </c>
      <c r="F55" s="483">
        <f t="shared" si="28"/>
        <v>7271</v>
      </c>
      <c r="G55" s="484">
        <f t="shared" si="26"/>
        <v>3049.0049038911916</v>
      </c>
      <c r="H55" s="453">
        <f t="shared" si="27"/>
        <v>3049.0049038911916</v>
      </c>
      <c r="I55" s="473">
        <f t="shared" si="29"/>
        <v>0</v>
      </c>
      <c r="J55" s="473"/>
      <c r="K55" s="485"/>
      <c r="L55" s="476">
        <f t="shared" si="30"/>
        <v>0</v>
      </c>
      <c r="M55" s="485"/>
      <c r="N55" s="476">
        <f t="shared" si="31"/>
        <v>0</v>
      </c>
      <c r="O55" s="476">
        <f t="shared" si="32"/>
        <v>0</v>
      </c>
      <c r="P55" s="241"/>
    </row>
    <row r="56" spans="2:16">
      <c r="B56" s="160" t="str">
        <f t="shared" si="4"/>
        <v/>
      </c>
      <c r="C56" s="470">
        <f>IF(D11="","-",+C55+1)</f>
        <v>2046</v>
      </c>
      <c r="D56" s="483">
        <f>IF(F55+SUM(E$17:E55)=D$10,F55,D$10-SUM(E$17:E55))</f>
        <v>7271</v>
      </c>
      <c r="E56" s="482">
        <f>IF(+I14&lt;F55,I14,D56)</f>
        <v>2222</v>
      </c>
      <c r="F56" s="483">
        <f t="shared" si="28"/>
        <v>5049</v>
      </c>
      <c r="G56" s="484">
        <f t="shared" si="26"/>
        <v>2796.2742070893451</v>
      </c>
      <c r="H56" s="453">
        <f t="shared" si="27"/>
        <v>2796.2742070893451</v>
      </c>
      <c r="I56" s="473">
        <f t="shared" si="29"/>
        <v>0</v>
      </c>
      <c r="J56" s="473"/>
      <c r="K56" s="485"/>
      <c r="L56" s="476">
        <f t="shared" si="30"/>
        <v>0</v>
      </c>
      <c r="M56" s="485"/>
      <c r="N56" s="476">
        <f t="shared" si="31"/>
        <v>0</v>
      </c>
      <c r="O56" s="476">
        <f t="shared" si="32"/>
        <v>0</v>
      </c>
      <c r="P56" s="241"/>
    </row>
    <row r="57" spans="2:16">
      <c r="B57" s="160" t="str">
        <f t="shared" si="4"/>
        <v/>
      </c>
      <c r="C57" s="470">
        <f>IF(D11="","-",+C56+1)</f>
        <v>2047</v>
      </c>
      <c r="D57" s="483">
        <f>IF(F56+SUM(E$17:E56)=D$10,F56,D$10-SUM(E$17:E56))</f>
        <v>5049</v>
      </c>
      <c r="E57" s="482">
        <f>IF(+I14&lt;F56,I14,D57)</f>
        <v>2222</v>
      </c>
      <c r="F57" s="483">
        <f t="shared" si="28"/>
        <v>2827</v>
      </c>
      <c r="G57" s="484">
        <f t="shared" si="26"/>
        <v>2543.5435102874981</v>
      </c>
      <c r="H57" s="453">
        <f t="shared" si="27"/>
        <v>2543.5435102874981</v>
      </c>
      <c r="I57" s="473">
        <f t="shared" si="29"/>
        <v>0</v>
      </c>
      <c r="J57" s="473"/>
      <c r="K57" s="485"/>
      <c r="L57" s="476">
        <f t="shared" si="30"/>
        <v>0</v>
      </c>
      <c r="M57" s="485"/>
      <c r="N57" s="476">
        <f t="shared" si="31"/>
        <v>0</v>
      </c>
      <c r="O57" s="476">
        <f t="shared" si="32"/>
        <v>0</v>
      </c>
      <c r="P57" s="241"/>
    </row>
    <row r="58" spans="2:16">
      <c r="B58" s="160" t="str">
        <f t="shared" si="4"/>
        <v/>
      </c>
      <c r="C58" s="470">
        <f>IF(D11="","-",+C57+1)</f>
        <v>2048</v>
      </c>
      <c r="D58" s="483">
        <f>IF(F57+SUM(E$17:E57)=D$10,F57,D$10-SUM(E$17:E57))</f>
        <v>2827</v>
      </c>
      <c r="E58" s="482">
        <f>IF(+I14&lt;F57,I14,D58)</f>
        <v>2222</v>
      </c>
      <c r="F58" s="483">
        <f t="shared" si="28"/>
        <v>605</v>
      </c>
      <c r="G58" s="484">
        <f t="shared" si="26"/>
        <v>2290.8128134856515</v>
      </c>
      <c r="H58" s="453">
        <f t="shared" si="27"/>
        <v>2290.8128134856515</v>
      </c>
      <c r="I58" s="473">
        <f t="shared" si="29"/>
        <v>0</v>
      </c>
      <c r="J58" s="473"/>
      <c r="K58" s="485"/>
      <c r="L58" s="476">
        <f t="shared" si="30"/>
        <v>0</v>
      </c>
      <c r="M58" s="485"/>
      <c r="N58" s="476">
        <f t="shared" si="31"/>
        <v>0</v>
      </c>
      <c r="O58" s="476">
        <f t="shared" si="32"/>
        <v>0</v>
      </c>
      <c r="P58" s="241"/>
    </row>
    <row r="59" spans="2:16">
      <c r="B59" s="160" t="str">
        <f t="shared" si="4"/>
        <v/>
      </c>
      <c r="C59" s="470">
        <f>IF(D11="","-",+C58+1)</f>
        <v>2049</v>
      </c>
      <c r="D59" s="483">
        <f>IF(F58+SUM(E$17:E58)=D$10,F58,D$10-SUM(E$17:E58))</f>
        <v>605</v>
      </c>
      <c r="E59" s="482">
        <f>IF(+I14&lt;F58,I14,D59)</f>
        <v>605</v>
      </c>
      <c r="F59" s="483">
        <f t="shared" si="28"/>
        <v>0</v>
      </c>
      <c r="G59" s="484">
        <f t="shared" si="26"/>
        <v>605</v>
      </c>
      <c r="H59" s="453">
        <f t="shared" si="27"/>
        <v>605</v>
      </c>
      <c r="I59" s="473">
        <f t="shared" si="29"/>
        <v>0</v>
      </c>
      <c r="J59" s="473"/>
      <c r="K59" s="485"/>
      <c r="L59" s="476">
        <f t="shared" si="30"/>
        <v>0</v>
      </c>
      <c r="M59" s="485"/>
      <c r="N59" s="476">
        <f t="shared" si="31"/>
        <v>0</v>
      </c>
      <c r="O59" s="476">
        <f t="shared" si="32"/>
        <v>0</v>
      </c>
      <c r="P59" s="241"/>
    </row>
    <row r="60" spans="2:16">
      <c r="B60" s="160" t="str">
        <f t="shared" si="4"/>
        <v/>
      </c>
      <c r="C60" s="470">
        <f>IF(D11="","-",+C59+1)</f>
        <v>2050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8"/>
        <v>0</v>
      </c>
      <c r="G60" s="484">
        <f t="shared" si="26"/>
        <v>0</v>
      </c>
      <c r="H60" s="453">
        <f t="shared" si="27"/>
        <v>0</v>
      </c>
      <c r="I60" s="473">
        <f t="shared" si="29"/>
        <v>0</v>
      </c>
      <c r="J60" s="473"/>
      <c r="K60" s="485"/>
      <c r="L60" s="476">
        <f t="shared" si="30"/>
        <v>0</v>
      </c>
      <c r="M60" s="485"/>
      <c r="N60" s="476">
        <f t="shared" si="31"/>
        <v>0</v>
      </c>
      <c r="O60" s="476">
        <f t="shared" si="32"/>
        <v>0</v>
      </c>
      <c r="P60" s="241"/>
    </row>
    <row r="61" spans="2:16">
      <c r="B61" s="160" t="str">
        <f t="shared" si="4"/>
        <v/>
      </c>
      <c r="C61" s="470">
        <f>IF(D11="","-",+C60+1)</f>
        <v>2051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8"/>
        <v>0</v>
      </c>
      <c r="G61" s="486">
        <f t="shared" si="26"/>
        <v>0</v>
      </c>
      <c r="H61" s="453">
        <f t="shared" si="27"/>
        <v>0</v>
      </c>
      <c r="I61" s="473">
        <f t="shared" si="29"/>
        <v>0</v>
      </c>
      <c r="J61" s="473"/>
      <c r="K61" s="485"/>
      <c r="L61" s="476">
        <f t="shared" si="30"/>
        <v>0</v>
      </c>
      <c r="M61" s="485"/>
      <c r="N61" s="476">
        <f t="shared" si="31"/>
        <v>0</v>
      </c>
      <c r="O61" s="476">
        <f t="shared" si="32"/>
        <v>0</v>
      </c>
      <c r="P61" s="241"/>
    </row>
    <row r="62" spans="2:16">
      <c r="B62" s="160" t="str">
        <f t="shared" si="4"/>
        <v/>
      </c>
      <c r="C62" s="470">
        <f>IF(D11="","-",+C61+1)</f>
        <v>2052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8"/>
        <v>0</v>
      </c>
      <c r="G62" s="486">
        <f t="shared" si="26"/>
        <v>0</v>
      </c>
      <c r="H62" s="453">
        <f t="shared" si="27"/>
        <v>0</v>
      </c>
      <c r="I62" s="473">
        <f t="shared" si="29"/>
        <v>0</v>
      </c>
      <c r="J62" s="473"/>
      <c r="K62" s="485"/>
      <c r="L62" s="476">
        <f t="shared" si="30"/>
        <v>0</v>
      </c>
      <c r="M62" s="485"/>
      <c r="N62" s="476">
        <f t="shared" si="31"/>
        <v>0</v>
      </c>
      <c r="O62" s="476">
        <f t="shared" si="32"/>
        <v>0</v>
      </c>
      <c r="P62" s="241"/>
    </row>
    <row r="63" spans="2:16">
      <c r="B63" s="160" t="str">
        <f t="shared" si="4"/>
        <v/>
      </c>
      <c r="C63" s="470">
        <f>IF(D11="","-",+C62+1)</f>
        <v>2053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8"/>
        <v>0</v>
      </c>
      <c r="G63" s="486">
        <f t="shared" si="26"/>
        <v>0</v>
      </c>
      <c r="H63" s="453">
        <f t="shared" si="27"/>
        <v>0</v>
      </c>
      <c r="I63" s="473">
        <f t="shared" si="29"/>
        <v>0</v>
      </c>
      <c r="J63" s="473"/>
      <c r="K63" s="485"/>
      <c r="L63" s="476">
        <f t="shared" si="30"/>
        <v>0</v>
      </c>
      <c r="M63" s="485"/>
      <c r="N63" s="476">
        <f t="shared" si="31"/>
        <v>0</v>
      </c>
      <c r="O63" s="476">
        <f t="shared" si="32"/>
        <v>0</v>
      </c>
      <c r="P63" s="241"/>
    </row>
    <row r="64" spans="2:16">
      <c r="B64" s="160" t="str">
        <f t="shared" si="4"/>
        <v/>
      </c>
      <c r="C64" s="470">
        <f>IF(D11="","-",+C63+1)</f>
        <v>2054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8"/>
        <v>0</v>
      </c>
      <c r="G64" s="486">
        <f t="shared" si="26"/>
        <v>0</v>
      </c>
      <c r="H64" s="453">
        <f t="shared" si="27"/>
        <v>0</v>
      </c>
      <c r="I64" s="473">
        <f t="shared" si="29"/>
        <v>0</v>
      </c>
      <c r="J64" s="473"/>
      <c r="K64" s="485"/>
      <c r="L64" s="476">
        <f t="shared" si="30"/>
        <v>0</v>
      </c>
      <c r="M64" s="485"/>
      <c r="N64" s="476">
        <f t="shared" si="31"/>
        <v>0</v>
      </c>
      <c r="O64" s="476">
        <f t="shared" si="32"/>
        <v>0</v>
      </c>
      <c r="P64" s="241"/>
    </row>
    <row r="65" spans="2:16">
      <c r="B65" s="160" t="str">
        <f t="shared" si="4"/>
        <v/>
      </c>
      <c r="C65" s="470">
        <f>IF(D11="","-",+C64+1)</f>
        <v>2055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8"/>
        <v>0</v>
      </c>
      <c r="G65" s="486">
        <f t="shared" si="26"/>
        <v>0</v>
      </c>
      <c r="H65" s="453">
        <f t="shared" si="27"/>
        <v>0</v>
      </c>
      <c r="I65" s="473">
        <f t="shared" si="29"/>
        <v>0</v>
      </c>
      <c r="J65" s="473"/>
      <c r="K65" s="485"/>
      <c r="L65" s="476">
        <f t="shared" si="30"/>
        <v>0</v>
      </c>
      <c r="M65" s="485"/>
      <c r="N65" s="476">
        <f t="shared" si="31"/>
        <v>0</v>
      </c>
      <c r="O65" s="476">
        <f t="shared" si="32"/>
        <v>0</v>
      </c>
      <c r="P65" s="241"/>
    </row>
    <row r="66" spans="2:16">
      <c r="B66" s="160" t="str">
        <f t="shared" si="4"/>
        <v/>
      </c>
      <c r="C66" s="470">
        <f>IF(D11="","-",+C65+1)</f>
        <v>2056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8"/>
        <v>0</v>
      </c>
      <c r="G66" s="486">
        <f t="shared" si="26"/>
        <v>0</v>
      </c>
      <c r="H66" s="453">
        <f t="shared" si="27"/>
        <v>0</v>
      </c>
      <c r="I66" s="473">
        <f t="shared" si="29"/>
        <v>0</v>
      </c>
      <c r="J66" s="473"/>
      <c r="K66" s="485"/>
      <c r="L66" s="476">
        <f t="shared" si="30"/>
        <v>0</v>
      </c>
      <c r="M66" s="485"/>
      <c r="N66" s="476">
        <f t="shared" si="31"/>
        <v>0</v>
      </c>
      <c r="O66" s="476">
        <f t="shared" si="32"/>
        <v>0</v>
      </c>
      <c r="P66" s="241"/>
    </row>
    <row r="67" spans="2:16">
      <c r="B67" s="160" t="str">
        <f t="shared" si="4"/>
        <v/>
      </c>
      <c r="C67" s="470">
        <f>IF(D11="","-",+C66+1)</f>
        <v>2057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8"/>
        <v>0</v>
      </c>
      <c r="G67" s="486">
        <f t="shared" si="26"/>
        <v>0</v>
      </c>
      <c r="H67" s="453">
        <f t="shared" si="27"/>
        <v>0</v>
      </c>
      <c r="I67" s="473">
        <f t="shared" si="29"/>
        <v>0</v>
      </c>
      <c r="J67" s="473"/>
      <c r="K67" s="485"/>
      <c r="L67" s="476">
        <f t="shared" si="30"/>
        <v>0</v>
      </c>
      <c r="M67" s="485"/>
      <c r="N67" s="476">
        <f t="shared" si="31"/>
        <v>0</v>
      </c>
      <c r="O67" s="476">
        <f t="shared" si="32"/>
        <v>0</v>
      </c>
      <c r="P67" s="241"/>
    </row>
    <row r="68" spans="2:16">
      <c r="B68" s="160" t="str">
        <f t="shared" si="4"/>
        <v/>
      </c>
      <c r="C68" s="470">
        <f>IF(D11="","-",+C67+1)</f>
        <v>2058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8"/>
        <v>0</v>
      </c>
      <c r="G68" s="486">
        <f t="shared" si="26"/>
        <v>0</v>
      </c>
      <c r="H68" s="453">
        <f t="shared" si="27"/>
        <v>0</v>
      </c>
      <c r="I68" s="473">
        <f t="shared" si="29"/>
        <v>0</v>
      </c>
      <c r="J68" s="473"/>
      <c r="K68" s="485"/>
      <c r="L68" s="476">
        <f t="shared" si="30"/>
        <v>0</v>
      </c>
      <c r="M68" s="485"/>
      <c r="N68" s="476">
        <f t="shared" si="31"/>
        <v>0</v>
      </c>
      <c r="O68" s="476">
        <f t="shared" si="32"/>
        <v>0</v>
      </c>
      <c r="P68" s="241"/>
    </row>
    <row r="69" spans="2:16">
      <c r="B69" s="160" t="str">
        <f t="shared" si="4"/>
        <v/>
      </c>
      <c r="C69" s="470">
        <f>IF(D11="","-",+C68+1)</f>
        <v>2059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8"/>
        <v>0</v>
      </c>
      <c r="G69" s="486">
        <f t="shared" si="26"/>
        <v>0</v>
      </c>
      <c r="H69" s="453">
        <f t="shared" si="27"/>
        <v>0</v>
      </c>
      <c r="I69" s="473">
        <f t="shared" si="29"/>
        <v>0</v>
      </c>
      <c r="J69" s="473"/>
      <c r="K69" s="485"/>
      <c r="L69" s="476">
        <f t="shared" si="30"/>
        <v>0</v>
      </c>
      <c r="M69" s="485"/>
      <c r="N69" s="476">
        <f t="shared" si="31"/>
        <v>0</v>
      </c>
      <c r="O69" s="476">
        <f t="shared" si="32"/>
        <v>0</v>
      </c>
      <c r="P69" s="241"/>
    </row>
    <row r="70" spans="2:16">
      <c r="B70" s="160" t="str">
        <f t="shared" si="4"/>
        <v/>
      </c>
      <c r="C70" s="470">
        <f>IF(D11="","-",+C69+1)</f>
        <v>2060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8"/>
        <v>0</v>
      </c>
      <c r="G70" s="486">
        <f t="shared" si="26"/>
        <v>0</v>
      </c>
      <c r="H70" s="453">
        <f t="shared" si="27"/>
        <v>0</v>
      </c>
      <c r="I70" s="473">
        <f t="shared" si="29"/>
        <v>0</v>
      </c>
      <c r="J70" s="473"/>
      <c r="K70" s="485"/>
      <c r="L70" s="476">
        <f t="shared" si="30"/>
        <v>0</v>
      </c>
      <c r="M70" s="485"/>
      <c r="N70" s="476">
        <f t="shared" si="31"/>
        <v>0</v>
      </c>
      <c r="O70" s="476">
        <f t="shared" si="32"/>
        <v>0</v>
      </c>
      <c r="P70" s="241"/>
    </row>
    <row r="71" spans="2:16">
      <c r="B71" s="160" t="str">
        <f t="shared" si="4"/>
        <v/>
      </c>
      <c r="C71" s="470">
        <f>IF(D11="","-",+C70+1)</f>
        <v>2061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8"/>
        <v>0</v>
      </c>
      <c r="G71" s="486">
        <f t="shared" si="26"/>
        <v>0</v>
      </c>
      <c r="H71" s="453">
        <f t="shared" si="27"/>
        <v>0</v>
      </c>
      <c r="I71" s="473">
        <f t="shared" si="29"/>
        <v>0</v>
      </c>
      <c r="J71" s="473"/>
      <c r="K71" s="485"/>
      <c r="L71" s="476">
        <f t="shared" si="30"/>
        <v>0</v>
      </c>
      <c r="M71" s="485"/>
      <c r="N71" s="476">
        <f t="shared" si="31"/>
        <v>0</v>
      </c>
      <c r="O71" s="476">
        <f t="shared" si="32"/>
        <v>0</v>
      </c>
      <c r="P71" s="241"/>
    </row>
    <row r="72" spans="2:16" ht="13.5" thickBot="1">
      <c r="B72" s="160" t="str">
        <f t="shared" si="4"/>
        <v/>
      </c>
      <c r="C72" s="487">
        <f>IF(D11="","-",+C71+1)</f>
        <v>2062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8"/>
        <v>0</v>
      </c>
      <c r="G72" s="490">
        <f t="shared" si="26"/>
        <v>0</v>
      </c>
      <c r="H72" s="433">
        <f t="shared" si="27"/>
        <v>0</v>
      </c>
      <c r="I72" s="491">
        <f t="shared" si="29"/>
        <v>0</v>
      </c>
      <c r="J72" s="473"/>
      <c r="K72" s="492"/>
      <c r="L72" s="493">
        <f t="shared" si="30"/>
        <v>0</v>
      </c>
      <c r="M72" s="492"/>
      <c r="N72" s="493">
        <f t="shared" si="31"/>
        <v>0</v>
      </c>
      <c r="O72" s="493">
        <f t="shared" si="32"/>
        <v>0</v>
      </c>
      <c r="P72" s="241"/>
    </row>
    <row r="73" spans="2:16">
      <c r="C73" s="345" t="s">
        <v>77</v>
      </c>
      <c r="D73" s="346"/>
      <c r="E73" s="346">
        <f>SUM(E17:E72)</f>
        <v>84424</v>
      </c>
      <c r="F73" s="346"/>
      <c r="G73" s="346">
        <f>SUM(G17:G72)</f>
        <v>283703.19772516517</v>
      </c>
      <c r="H73" s="346">
        <f>SUM(H17:H72)</f>
        <v>283703.19772516517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95" t="str">
        <f ca="1">P1</f>
        <v>PSO Project 7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8297.5518554789269</v>
      </c>
      <c r="N87" s="506">
        <f>IF(J92&lt;D11,0,VLOOKUP(J92,C17:O72,11))</f>
        <v>8297.5518554789269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8638.3961304237382</v>
      </c>
      <c r="N88" s="510">
        <f>IF(J92&lt;D11,0,VLOOKUP(J92,C99:P154,7))</f>
        <v>8638.3961304237382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Elk City - Elk City 69 kV line (CT Upgrades)*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340.84427494481133</v>
      </c>
      <c r="N89" s="515">
        <f>+N88-N87</f>
        <v>340.84427494481133</v>
      </c>
      <c r="O89" s="516">
        <f>+O88-O87</f>
        <v>0</v>
      </c>
      <c r="P89" s="231"/>
    </row>
    <row r="90" spans="1:16" ht="13.5" thickBot="1">
      <c r="C90" s="494"/>
      <c r="D90" s="517" t="str">
        <f>D8</f>
        <v>DOES NOT MEET SPP $100,000 MINIMUM INVESTMENT FOR REGIONAL BPU SHARING.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TP2007015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445">
        <v>84424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f>IF(D11=I10,"",D11)</f>
        <v>2007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f>IF(D11=I10,"",D12)</f>
        <v>12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2059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59" t="s">
        <v>211</v>
      </c>
      <c r="M97" s="461" t="s">
        <v>99</v>
      </c>
      <c r="N97" s="459" t="s">
        <v>211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2007</v>
      </c>
      <c r="D99" s="471">
        <v>0</v>
      </c>
      <c r="E99" s="478">
        <v>0</v>
      </c>
      <c r="F99" s="477">
        <v>84424</v>
      </c>
      <c r="G99" s="535">
        <v>42212</v>
      </c>
      <c r="H99" s="536">
        <v>0</v>
      </c>
      <c r="I99" s="537">
        <v>0</v>
      </c>
      <c r="J99" s="476">
        <f t="shared" ref="J99:J130" si="33">+I99-H99</f>
        <v>0</v>
      </c>
      <c r="K99" s="476"/>
      <c r="L99" s="552">
        <v>0</v>
      </c>
      <c r="M99" s="475">
        <f t="shared" ref="M99:M130" si="34">IF(L99&lt;&gt;0,+H99-L99,0)</f>
        <v>0</v>
      </c>
      <c r="N99" s="552">
        <v>0</v>
      </c>
      <c r="O99" s="475">
        <f t="shared" ref="O99:O130" si="35">IF(N99&lt;&gt;0,+I99-N99,0)</f>
        <v>0</v>
      </c>
      <c r="P99" s="475">
        <f t="shared" ref="P99:P130" si="36">+O99-M99</f>
        <v>0</v>
      </c>
    </row>
    <row r="100" spans="1:16">
      <c r="B100" s="160" t="str">
        <f>IF(D100=F99,"","IU")</f>
        <v/>
      </c>
      <c r="C100" s="470">
        <f>IF(D93="","-",+C99+1)</f>
        <v>2008</v>
      </c>
      <c r="D100" s="471">
        <v>84424</v>
      </c>
      <c r="E100" s="478">
        <v>1593</v>
      </c>
      <c r="F100" s="477">
        <v>82831</v>
      </c>
      <c r="G100" s="477">
        <v>83628</v>
      </c>
      <c r="H100" s="478">
        <v>14877</v>
      </c>
      <c r="I100" s="479">
        <v>14877</v>
      </c>
      <c r="J100" s="476">
        <f t="shared" si="33"/>
        <v>0</v>
      </c>
      <c r="K100" s="476"/>
      <c r="L100" s="474">
        <v>14877</v>
      </c>
      <c r="M100" s="476">
        <f t="shared" si="34"/>
        <v>0</v>
      </c>
      <c r="N100" s="474">
        <v>14877</v>
      </c>
      <c r="O100" s="476">
        <f t="shared" si="35"/>
        <v>0</v>
      </c>
      <c r="P100" s="476">
        <f t="shared" si="36"/>
        <v>0</v>
      </c>
    </row>
    <row r="101" spans="1:16">
      <c r="B101" s="160" t="str">
        <f t="shared" ref="B101:B154" si="37">IF(D101=F100,"","IU")</f>
        <v/>
      </c>
      <c r="C101" s="470">
        <f>IF(D93="","-",+C100+1)</f>
        <v>2009</v>
      </c>
      <c r="D101" s="471">
        <v>82831</v>
      </c>
      <c r="E101" s="478">
        <v>1508</v>
      </c>
      <c r="F101" s="477">
        <v>81323</v>
      </c>
      <c r="G101" s="477">
        <v>82077</v>
      </c>
      <c r="H101" s="478">
        <v>13508.337143636172</v>
      </c>
      <c r="I101" s="479">
        <v>13508.337143636172</v>
      </c>
      <c r="J101" s="476">
        <f t="shared" si="33"/>
        <v>0</v>
      </c>
      <c r="K101" s="476"/>
      <c r="L101" s="538">
        <f t="shared" ref="L101:L106" si="38">H101</f>
        <v>13508.337143636172</v>
      </c>
      <c r="M101" s="539">
        <f t="shared" si="34"/>
        <v>0</v>
      </c>
      <c r="N101" s="538">
        <f t="shared" ref="N101:N106" si="39">I101</f>
        <v>13508.337143636172</v>
      </c>
      <c r="O101" s="476">
        <f t="shared" si="35"/>
        <v>0</v>
      </c>
      <c r="P101" s="476">
        <f t="shared" si="36"/>
        <v>0</v>
      </c>
    </row>
    <row r="102" spans="1:16">
      <c r="B102" s="160" t="str">
        <f t="shared" si="37"/>
        <v/>
      </c>
      <c r="C102" s="470">
        <f>IF(D93="","-",+C101+1)</f>
        <v>2010</v>
      </c>
      <c r="D102" s="471">
        <v>81323</v>
      </c>
      <c r="E102" s="478">
        <v>1655</v>
      </c>
      <c r="F102" s="477">
        <v>79668</v>
      </c>
      <c r="G102" s="477">
        <v>80495.5</v>
      </c>
      <c r="H102" s="478">
        <v>14599.901682354179</v>
      </c>
      <c r="I102" s="479">
        <v>14599.901682354179</v>
      </c>
      <c r="J102" s="476">
        <f t="shared" si="33"/>
        <v>0</v>
      </c>
      <c r="K102" s="476"/>
      <c r="L102" s="538">
        <f t="shared" si="38"/>
        <v>14599.901682354179</v>
      </c>
      <c r="M102" s="539">
        <f t="shared" si="34"/>
        <v>0</v>
      </c>
      <c r="N102" s="538">
        <f t="shared" si="39"/>
        <v>14599.901682354179</v>
      </c>
      <c r="O102" s="476">
        <f t="shared" si="35"/>
        <v>0</v>
      </c>
      <c r="P102" s="476">
        <f t="shared" si="36"/>
        <v>0</v>
      </c>
    </row>
    <row r="103" spans="1:16">
      <c r="B103" s="160" t="str">
        <f t="shared" si="37"/>
        <v/>
      </c>
      <c r="C103" s="470">
        <f>IF(D93="","-",+C102+1)</f>
        <v>2011</v>
      </c>
      <c r="D103" s="471">
        <v>79668</v>
      </c>
      <c r="E103" s="478">
        <v>1624</v>
      </c>
      <c r="F103" s="477">
        <v>78044</v>
      </c>
      <c r="G103" s="477">
        <v>78856</v>
      </c>
      <c r="H103" s="478">
        <v>12649.128461660426</v>
      </c>
      <c r="I103" s="479">
        <v>12649.128461660426</v>
      </c>
      <c r="J103" s="476">
        <f t="shared" si="33"/>
        <v>0</v>
      </c>
      <c r="K103" s="476"/>
      <c r="L103" s="538">
        <f t="shared" si="38"/>
        <v>12649.128461660426</v>
      </c>
      <c r="M103" s="539">
        <f t="shared" si="34"/>
        <v>0</v>
      </c>
      <c r="N103" s="538">
        <f t="shared" si="39"/>
        <v>12649.128461660426</v>
      </c>
      <c r="O103" s="476">
        <f t="shared" si="35"/>
        <v>0</v>
      </c>
      <c r="P103" s="476">
        <f t="shared" si="36"/>
        <v>0</v>
      </c>
    </row>
    <row r="104" spans="1:16">
      <c r="B104" s="160" t="str">
        <f t="shared" si="37"/>
        <v/>
      </c>
      <c r="C104" s="470">
        <f>IF(D93="","-",+C103+1)</f>
        <v>2012</v>
      </c>
      <c r="D104" s="471">
        <v>78044</v>
      </c>
      <c r="E104" s="478">
        <v>1624</v>
      </c>
      <c r="F104" s="477">
        <v>76420</v>
      </c>
      <c r="G104" s="477">
        <v>77232</v>
      </c>
      <c r="H104" s="478">
        <v>12734.246570183563</v>
      </c>
      <c r="I104" s="479">
        <v>12734.246570183563</v>
      </c>
      <c r="J104" s="476">
        <v>0</v>
      </c>
      <c r="K104" s="476"/>
      <c r="L104" s="538">
        <f t="shared" si="38"/>
        <v>12734.246570183563</v>
      </c>
      <c r="M104" s="539">
        <f t="shared" ref="M104:M109" si="40">IF(L104&lt;&gt;0,+H104-L104,0)</f>
        <v>0</v>
      </c>
      <c r="N104" s="538">
        <f t="shared" si="39"/>
        <v>12734.246570183563</v>
      </c>
      <c r="O104" s="476">
        <f t="shared" ref="O104:O109" si="41">IF(N104&lt;&gt;0,+I104-N104,0)</f>
        <v>0</v>
      </c>
      <c r="P104" s="476">
        <f t="shared" ref="P104:P109" si="42">+O104-M104</f>
        <v>0</v>
      </c>
    </row>
    <row r="105" spans="1:16">
      <c r="B105" s="160" t="str">
        <f t="shared" si="37"/>
        <v/>
      </c>
      <c r="C105" s="470">
        <f>IF(D93="","-",+C104+1)</f>
        <v>2013</v>
      </c>
      <c r="D105" s="471">
        <v>76420</v>
      </c>
      <c r="E105" s="478">
        <v>1624</v>
      </c>
      <c r="F105" s="477">
        <v>74796</v>
      </c>
      <c r="G105" s="477">
        <v>75608</v>
      </c>
      <c r="H105" s="478">
        <v>12506.984818583547</v>
      </c>
      <c r="I105" s="479">
        <v>12506.984818583547</v>
      </c>
      <c r="J105" s="476">
        <v>0</v>
      </c>
      <c r="K105" s="476"/>
      <c r="L105" s="538">
        <f t="shared" si="38"/>
        <v>12506.984818583547</v>
      </c>
      <c r="M105" s="539">
        <f t="shared" si="40"/>
        <v>0</v>
      </c>
      <c r="N105" s="538">
        <f t="shared" si="39"/>
        <v>12506.984818583547</v>
      </c>
      <c r="O105" s="476">
        <f t="shared" si="41"/>
        <v>0</v>
      </c>
      <c r="P105" s="476">
        <f t="shared" si="42"/>
        <v>0</v>
      </c>
    </row>
    <row r="106" spans="1:16">
      <c r="B106" s="160" t="str">
        <f t="shared" si="37"/>
        <v/>
      </c>
      <c r="C106" s="470">
        <f>IF(D93="","-",+C105+1)</f>
        <v>2014</v>
      </c>
      <c r="D106" s="471">
        <v>74796</v>
      </c>
      <c r="E106" s="478">
        <v>1624</v>
      </c>
      <c r="F106" s="477">
        <v>73172</v>
      </c>
      <c r="G106" s="477">
        <v>73984</v>
      </c>
      <c r="H106" s="478">
        <v>12025.847971361507</v>
      </c>
      <c r="I106" s="479">
        <v>12025.847971361507</v>
      </c>
      <c r="J106" s="476">
        <v>0</v>
      </c>
      <c r="K106" s="476"/>
      <c r="L106" s="538">
        <f t="shared" si="38"/>
        <v>12025.847971361507</v>
      </c>
      <c r="M106" s="539">
        <f t="shared" si="40"/>
        <v>0</v>
      </c>
      <c r="N106" s="538">
        <f t="shared" si="39"/>
        <v>12025.847971361507</v>
      </c>
      <c r="O106" s="476">
        <f t="shared" si="41"/>
        <v>0</v>
      </c>
      <c r="P106" s="476">
        <f t="shared" si="42"/>
        <v>0</v>
      </c>
    </row>
    <row r="107" spans="1:16">
      <c r="B107" s="160" t="str">
        <f t="shared" si="37"/>
        <v/>
      </c>
      <c r="C107" s="470">
        <f>IF(D93="","-",+C106+1)</f>
        <v>2015</v>
      </c>
      <c r="D107" s="471">
        <v>73172</v>
      </c>
      <c r="E107" s="478">
        <v>1624</v>
      </c>
      <c r="F107" s="477">
        <v>71548</v>
      </c>
      <c r="G107" s="477">
        <v>72360</v>
      </c>
      <c r="H107" s="478">
        <v>11496.940196929139</v>
      </c>
      <c r="I107" s="479">
        <v>11496.940196929139</v>
      </c>
      <c r="J107" s="476">
        <f t="shared" si="33"/>
        <v>0</v>
      </c>
      <c r="K107" s="476"/>
      <c r="L107" s="538">
        <f t="shared" ref="L107:L112" si="43">H107</f>
        <v>11496.940196929139</v>
      </c>
      <c r="M107" s="539">
        <f t="shared" si="40"/>
        <v>0</v>
      </c>
      <c r="N107" s="538">
        <f t="shared" ref="N107:N112" si="44">I107</f>
        <v>11496.940196929139</v>
      </c>
      <c r="O107" s="476">
        <f t="shared" si="41"/>
        <v>0</v>
      </c>
      <c r="P107" s="476">
        <f t="shared" si="42"/>
        <v>0</v>
      </c>
    </row>
    <row r="108" spans="1:16">
      <c r="B108" s="160" t="str">
        <f t="shared" si="37"/>
        <v/>
      </c>
      <c r="C108" s="470">
        <f>IF(D93="","-",+C107+1)</f>
        <v>2016</v>
      </c>
      <c r="D108" s="471">
        <v>71548</v>
      </c>
      <c r="E108" s="478">
        <v>1835</v>
      </c>
      <c r="F108" s="477">
        <v>69713</v>
      </c>
      <c r="G108" s="477">
        <v>70630.5</v>
      </c>
      <c r="H108" s="478">
        <v>10940.383800869789</v>
      </c>
      <c r="I108" s="479">
        <v>10940.383800869789</v>
      </c>
      <c r="J108" s="476">
        <f t="shared" si="33"/>
        <v>0</v>
      </c>
      <c r="K108" s="476"/>
      <c r="L108" s="538">
        <f t="shared" si="43"/>
        <v>10940.383800869789</v>
      </c>
      <c r="M108" s="539">
        <f t="shared" si="40"/>
        <v>0</v>
      </c>
      <c r="N108" s="538">
        <f t="shared" si="44"/>
        <v>10940.383800869789</v>
      </c>
      <c r="O108" s="476">
        <f t="shared" si="41"/>
        <v>0</v>
      </c>
      <c r="P108" s="476">
        <f t="shared" si="42"/>
        <v>0</v>
      </c>
    </row>
    <row r="109" spans="1:16">
      <c r="B109" s="160" t="str">
        <f t="shared" si="37"/>
        <v/>
      </c>
      <c r="C109" s="470">
        <f>IF(D93="","-",+C108+1)</f>
        <v>2017</v>
      </c>
      <c r="D109" s="471">
        <v>69713</v>
      </c>
      <c r="E109" s="478">
        <v>1835</v>
      </c>
      <c r="F109" s="477">
        <v>67878</v>
      </c>
      <c r="G109" s="477">
        <v>68795.5</v>
      </c>
      <c r="H109" s="478">
        <v>10561.882642914878</v>
      </c>
      <c r="I109" s="479">
        <v>10561.882642914878</v>
      </c>
      <c r="J109" s="476">
        <f t="shared" si="33"/>
        <v>0</v>
      </c>
      <c r="K109" s="476"/>
      <c r="L109" s="538">
        <f t="shared" si="43"/>
        <v>10561.882642914878</v>
      </c>
      <c r="M109" s="539">
        <f t="shared" si="40"/>
        <v>0</v>
      </c>
      <c r="N109" s="538">
        <f t="shared" si="44"/>
        <v>10561.882642914878</v>
      </c>
      <c r="O109" s="476">
        <f t="shared" si="41"/>
        <v>0</v>
      </c>
      <c r="P109" s="476">
        <f t="shared" si="42"/>
        <v>0</v>
      </c>
    </row>
    <row r="110" spans="1:16">
      <c r="B110" s="160" t="str">
        <f t="shared" si="37"/>
        <v/>
      </c>
      <c r="C110" s="470">
        <f>IF(D93="","-",+C109+1)</f>
        <v>2018</v>
      </c>
      <c r="D110" s="471">
        <v>67878</v>
      </c>
      <c r="E110" s="478">
        <v>1963</v>
      </c>
      <c r="F110" s="477">
        <v>65915</v>
      </c>
      <c r="G110" s="477">
        <v>66896.5</v>
      </c>
      <c r="H110" s="478">
        <v>8835.6498462369182</v>
      </c>
      <c r="I110" s="479">
        <v>8835.6498462369182</v>
      </c>
      <c r="J110" s="476">
        <f t="shared" si="33"/>
        <v>0</v>
      </c>
      <c r="K110" s="476"/>
      <c r="L110" s="538">
        <f t="shared" si="43"/>
        <v>8835.6498462369182</v>
      </c>
      <c r="M110" s="539">
        <f t="shared" ref="M110" si="45">IF(L110&lt;&gt;0,+H110-L110,0)</f>
        <v>0</v>
      </c>
      <c r="N110" s="538">
        <f t="shared" si="44"/>
        <v>8835.6498462369182</v>
      </c>
      <c r="O110" s="476">
        <f t="shared" ref="O110" si="46">IF(N110&lt;&gt;0,+I110-N110,0)</f>
        <v>0</v>
      </c>
      <c r="P110" s="476">
        <f t="shared" ref="P110" si="47">+O110-M110</f>
        <v>0</v>
      </c>
    </row>
    <row r="111" spans="1:16">
      <c r="B111" s="160" t="str">
        <f t="shared" si="37"/>
        <v/>
      </c>
      <c r="C111" s="470">
        <f>IF(D93="","-",+C110+1)</f>
        <v>2019</v>
      </c>
      <c r="D111" s="471">
        <v>65915</v>
      </c>
      <c r="E111" s="478">
        <v>2059</v>
      </c>
      <c r="F111" s="477">
        <v>63856</v>
      </c>
      <c r="G111" s="477">
        <v>64885.5</v>
      </c>
      <c r="H111" s="478">
        <v>8749.6051392547379</v>
      </c>
      <c r="I111" s="479">
        <v>8749.6051392547379</v>
      </c>
      <c r="J111" s="476">
        <f t="shared" si="33"/>
        <v>0</v>
      </c>
      <c r="K111" s="476"/>
      <c r="L111" s="538">
        <f t="shared" si="43"/>
        <v>8749.6051392547379</v>
      </c>
      <c r="M111" s="539">
        <f t="shared" ref="M111:M112" si="48">IF(L111&lt;&gt;0,+H111-L111,0)</f>
        <v>0</v>
      </c>
      <c r="N111" s="538">
        <f t="shared" si="44"/>
        <v>8749.6051392547379</v>
      </c>
      <c r="O111" s="476">
        <f t="shared" si="35"/>
        <v>0</v>
      </c>
      <c r="P111" s="476">
        <f t="shared" si="36"/>
        <v>0</v>
      </c>
    </row>
    <row r="112" spans="1:16">
      <c r="B112" s="160" t="str">
        <f t="shared" si="37"/>
        <v/>
      </c>
      <c r="C112" s="470">
        <f>IF(D93="","-",+C111+1)</f>
        <v>2020</v>
      </c>
      <c r="D112" s="471">
        <v>63856</v>
      </c>
      <c r="E112" s="478">
        <v>1963</v>
      </c>
      <c r="F112" s="477">
        <v>61893</v>
      </c>
      <c r="G112" s="477">
        <v>62874.5</v>
      </c>
      <c r="H112" s="478">
        <v>9212.2569908153564</v>
      </c>
      <c r="I112" s="479">
        <v>9212.2569908153564</v>
      </c>
      <c r="J112" s="476">
        <f t="shared" si="33"/>
        <v>0</v>
      </c>
      <c r="K112" s="476"/>
      <c r="L112" s="538">
        <f t="shared" si="43"/>
        <v>9212.2569908153564</v>
      </c>
      <c r="M112" s="539">
        <f t="shared" si="48"/>
        <v>0</v>
      </c>
      <c r="N112" s="538">
        <f t="shared" si="44"/>
        <v>9212.2569908153564</v>
      </c>
      <c r="O112" s="476">
        <f t="shared" si="35"/>
        <v>0</v>
      </c>
      <c r="P112" s="476">
        <f t="shared" si="36"/>
        <v>0</v>
      </c>
    </row>
    <row r="113" spans="2:16">
      <c r="B113" s="160" t="str">
        <f t="shared" si="37"/>
        <v/>
      </c>
      <c r="C113" s="470">
        <f>IF(D93="","-",+C112+1)</f>
        <v>2021</v>
      </c>
      <c r="D113" s="471">
        <v>61893</v>
      </c>
      <c r="E113" s="478">
        <v>2059</v>
      </c>
      <c r="F113" s="477">
        <v>59834</v>
      </c>
      <c r="G113" s="477">
        <v>60863.5</v>
      </c>
      <c r="H113" s="478">
        <v>8984.8276586704978</v>
      </c>
      <c r="I113" s="479">
        <v>8984.8276586704978</v>
      </c>
      <c r="J113" s="476">
        <f t="shared" si="33"/>
        <v>0</v>
      </c>
      <c r="K113" s="476"/>
      <c r="L113" s="538">
        <f t="shared" ref="L113" si="49">H113</f>
        <v>8984.8276586704978</v>
      </c>
      <c r="M113" s="539">
        <f t="shared" ref="M113" si="50">IF(L113&lt;&gt;0,+H113-L113,0)</f>
        <v>0</v>
      </c>
      <c r="N113" s="538">
        <f t="shared" ref="N113" si="51">I113</f>
        <v>8984.8276586704978</v>
      </c>
      <c r="O113" s="476">
        <f t="shared" ref="O113" si="52">IF(N113&lt;&gt;0,+I113-N113,0)</f>
        <v>0</v>
      </c>
      <c r="P113" s="476">
        <f t="shared" ref="P113" si="53">+O113-M113</f>
        <v>0</v>
      </c>
    </row>
    <row r="114" spans="2:16">
      <c r="B114" s="160" t="str">
        <f t="shared" si="37"/>
        <v/>
      </c>
      <c r="C114" s="631">
        <f>IF(D93="","-",+C113+1)</f>
        <v>2022</v>
      </c>
      <c r="D114" s="345">
        <v>59834</v>
      </c>
      <c r="E114" s="484">
        <v>2165</v>
      </c>
      <c r="F114" s="483">
        <v>57669</v>
      </c>
      <c r="G114" s="483">
        <v>58751.5</v>
      </c>
      <c r="H114" s="486">
        <v>8638.3961304237382</v>
      </c>
      <c r="I114" s="540">
        <v>8638.3961304237382</v>
      </c>
      <c r="J114" s="476">
        <f t="shared" si="33"/>
        <v>0</v>
      </c>
      <c r="K114" s="476"/>
      <c r="L114" s="485"/>
      <c r="M114" s="476">
        <f t="shared" si="34"/>
        <v>0</v>
      </c>
      <c r="N114" s="485"/>
      <c r="O114" s="476">
        <f t="shared" si="35"/>
        <v>0</v>
      </c>
      <c r="P114" s="476">
        <f t="shared" si="36"/>
        <v>0</v>
      </c>
    </row>
    <row r="115" spans="2:16">
      <c r="B115" s="160" t="str">
        <f t="shared" si="37"/>
        <v/>
      </c>
      <c r="C115" s="470">
        <f>IF(D93="","-",+C114+1)</f>
        <v>2023</v>
      </c>
      <c r="D115" s="345">
        <f>IF(F114+SUM(E$99:E114)=D$92,F114,D$92-SUM(E$99:E114))</f>
        <v>57669</v>
      </c>
      <c r="E115" s="484">
        <f>IF(+J96&lt;F114,J96,D115)</f>
        <v>2059</v>
      </c>
      <c r="F115" s="483">
        <f t="shared" ref="F115:F129" si="54">+D115-E115</f>
        <v>55610</v>
      </c>
      <c r="G115" s="483">
        <f t="shared" ref="G115:G129" si="55">+(F115+D115)/2</f>
        <v>56639.5</v>
      </c>
      <c r="H115" s="486">
        <f t="shared" ref="H115:H154" si="56">+J$94*G115+E115</f>
        <v>8504.166900905595</v>
      </c>
      <c r="I115" s="540">
        <f t="shared" ref="I115:I154" si="57">+J$95*G115+E115</f>
        <v>8504.166900905595</v>
      </c>
      <c r="J115" s="476">
        <f t="shared" si="33"/>
        <v>0</v>
      </c>
      <c r="K115" s="476"/>
      <c r="L115" s="485"/>
      <c r="M115" s="476">
        <f t="shared" si="34"/>
        <v>0</v>
      </c>
      <c r="N115" s="485"/>
      <c r="O115" s="476">
        <f t="shared" si="35"/>
        <v>0</v>
      </c>
      <c r="P115" s="476">
        <f t="shared" si="36"/>
        <v>0</v>
      </c>
    </row>
    <row r="116" spans="2:16">
      <c r="B116" s="160" t="str">
        <f t="shared" si="37"/>
        <v/>
      </c>
      <c r="C116" s="470">
        <f>IF(D93="","-",+C115+1)</f>
        <v>2024</v>
      </c>
      <c r="D116" s="345">
        <f>IF(F115+SUM(E$99:E115)=D$92,F115,D$92-SUM(E$99:E115))</f>
        <v>55610</v>
      </c>
      <c r="E116" s="484">
        <f>IF(+J96&lt;F115,J96,D116)</f>
        <v>2059</v>
      </c>
      <c r="F116" s="483">
        <f t="shared" si="54"/>
        <v>53551</v>
      </c>
      <c r="G116" s="483">
        <f t="shared" si="55"/>
        <v>54580.5</v>
      </c>
      <c r="H116" s="486">
        <f t="shared" si="56"/>
        <v>8269.8675400538104</v>
      </c>
      <c r="I116" s="540">
        <f t="shared" si="57"/>
        <v>8269.8675400538104</v>
      </c>
      <c r="J116" s="476">
        <f t="shared" si="33"/>
        <v>0</v>
      </c>
      <c r="K116" s="476"/>
      <c r="L116" s="485"/>
      <c r="M116" s="476">
        <f t="shared" si="34"/>
        <v>0</v>
      </c>
      <c r="N116" s="485"/>
      <c r="O116" s="476">
        <f t="shared" si="35"/>
        <v>0</v>
      </c>
      <c r="P116" s="476">
        <f t="shared" si="36"/>
        <v>0</v>
      </c>
    </row>
    <row r="117" spans="2:16">
      <c r="B117" s="160" t="str">
        <f t="shared" si="37"/>
        <v/>
      </c>
      <c r="C117" s="470">
        <f>IF(D93="","-",+C116+1)</f>
        <v>2025</v>
      </c>
      <c r="D117" s="345">
        <f>IF(F116+SUM(E$99:E116)=D$92,F116,D$92-SUM(E$99:E116))</f>
        <v>53551</v>
      </c>
      <c r="E117" s="484">
        <f>IF(+J96&lt;F116,J96,D117)</f>
        <v>2059</v>
      </c>
      <c r="F117" s="483">
        <f t="shared" si="54"/>
        <v>51492</v>
      </c>
      <c r="G117" s="483">
        <f t="shared" si="55"/>
        <v>52521.5</v>
      </c>
      <c r="H117" s="486">
        <f t="shared" si="56"/>
        <v>8035.5681792020259</v>
      </c>
      <c r="I117" s="540">
        <f t="shared" si="57"/>
        <v>8035.5681792020259</v>
      </c>
      <c r="J117" s="476">
        <f t="shared" si="33"/>
        <v>0</v>
      </c>
      <c r="K117" s="476"/>
      <c r="L117" s="485"/>
      <c r="M117" s="476">
        <f t="shared" si="34"/>
        <v>0</v>
      </c>
      <c r="N117" s="485"/>
      <c r="O117" s="476">
        <f t="shared" si="35"/>
        <v>0</v>
      </c>
      <c r="P117" s="476">
        <f t="shared" si="36"/>
        <v>0</v>
      </c>
    </row>
    <row r="118" spans="2:16">
      <c r="B118" s="160" t="str">
        <f t="shared" si="37"/>
        <v/>
      </c>
      <c r="C118" s="470">
        <f>IF(D93="","-",+C117+1)</f>
        <v>2026</v>
      </c>
      <c r="D118" s="345">
        <f>IF(F117+SUM(E$99:E117)=D$92,F117,D$92-SUM(E$99:E117))</f>
        <v>51492</v>
      </c>
      <c r="E118" s="484">
        <f>IF(+J96&lt;F117,J96,D118)</f>
        <v>2059</v>
      </c>
      <c r="F118" s="483">
        <f t="shared" si="54"/>
        <v>49433</v>
      </c>
      <c r="G118" s="483">
        <f t="shared" si="55"/>
        <v>50462.5</v>
      </c>
      <c r="H118" s="486">
        <f t="shared" si="56"/>
        <v>7801.2688183502423</v>
      </c>
      <c r="I118" s="540">
        <f t="shared" si="57"/>
        <v>7801.2688183502423</v>
      </c>
      <c r="J118" s="476">
        <f t="shared" si="33"/>
        <v>0</v>
      </c>
      <c r="K118" s="476"/>
      <c r="L118" s="485"/>
      <c r="M118" s="476">
        <f t="shared" si="34"/>
        <v>0</v>
      </c>
      <c r="N118" s="485"/>
      <c r="O118" s="476">
        <f t="shared" si="35"/>
        <v>0</v>
      </c>
      <c r="P118" s="476">
        <f t="shared" si="36"/>
        <v>0</v>
      </c>
    </row>
    <row r="119" spans="2:16">
      <c r="B119" s="160" t="str">
        <f t="shared" si="37"/>
        <v/>
      </c>
      <c r="C119" s="470">
        <f>IF(D93="","-",+C118+1)</f>
        <v>2027</v>
      </c>
      <c r="D119" s="345">
        <f>IF(F118+SUM(E$99:E118)=D$92,F118,D$92-SUM(E$99:E118))</f>
        <v>49433</v>
      </c>
      <c r="E119" s="484">
        <f>IF(+J96&lt;F118,J96,D119)</f>
        <v>2059</v>
      </c>
      <c r="F119" s="483">
        <f t="shared" si="54"/>
        <v>47374</v>
      </c>
      <c r="G119" s="483">
        <f t="shared" si="55"/>
        <v>48403.5</v>
      </c>
      <c r="H119" s="486">
        <f t="shared" si="56"/>
        <v>7566.9694574984587</v>
      </c>
      <c r="I119" s="540">
        <f t="shared" si="57"/>
        <v>7566.9694574984587</v>
      </c>
      <c r="J119" s="476">
        <f t="shared" si="33"/>
        <v>0</v>
      </c>
      <c r="K119" s="476"/>
      <c r="L119" s="485"/>
      <c r="M119" s="476">
        <f t="shared" si="34"/>
        <v>0</v>
      </c>
      <c r="N119" s="485"/>
      <c r="O119" s="476">
        <f t="shared" si="35"/>
        <v>0</v>
      </c>
      <c r="P119" s="476">
        <f t="shared" si="36"/>
        <v>0</v>
      </c>
    </row>
    <row r="120" spans="2:16">
      <c r="B120" s="160" t="str">
        <f t="shared" si="37"/>
        <v/>
      </c>
      <c r="C120" s="470">
        <f>IF(D93="","-",+C119+1)</f>
        <v>2028</v>
      </c>
      <c r="D120" s="345">
        <f>IF(F119+SUM(E$99:E119)=D$92,F119,D$92-SUM(E$99:E119))</f>
        <v>47374</v>
      </c>
      <c r="E120" s="484">
        <f>IF(+J96&lt;F119,J96,D120)</f>
        <v>2059</v>
      </c>
      <c r="F120" s="483">
        <f t="shared" si="54"/>
        <v>45315</v>
      </c>
      <c r="G120" s="483">
        <f t="shared" si="55"/>
        <v>46344.5</v>
      </c>
      <c r="H120" s="486">
        <f t="shared" si="56"/>
        <v>7332.6700966466742</v>
      </c>
      <c r="I120" s="540">
        <f t="shared" si="57"/>
        <v>7332.6700966466742</v>
      </c>
      <c r="J120" s="476">
        <f t="shared" si="33"/>
        <v>0</v>
      </c>
      <c r="K120" s="476"/>
      <c r="L120" s="485"/>
      <c r="M120" s="476">
        <f t="shared" si="34"/>
        <v>0</v>
      </c>
      <c r="N120" s="485"/>
      <c r="O120" s="476">
        <f t="shared" si="35"/>
        <v>0</v>
      </c>
      <c r="P120" s="476">
        <f t="shared" si="36"/>
        <v>0</v>
      </c>
    </row>
    <row r="121" spans="2:16">
      <c r="B121" s="160" t="str">
        <f t="shared" si="37"/>
        <v/>
      </c>
      <c r="C121" s="470">
        <f>IF(D93="","-",+C120+1)</f>
        <v>2029</v>
      </c>
      <c r="D121" s="345">
        <f>IF(F120+SUM(E$99:E120)=D$92,F120,D$92-SUM(E$99:E120))</f>
        <v>45315</v>
      </c>
      <c r="E121" s="484">
        <f>IF(+J96&lt;F120,J96,D121)</f>
        <v>2059</v>
      </c>
      <c r="F121" s="483">
        <f t="shared" si="54"/>
        <v>43256</v>
      </c>
      <c r="G121" s="483">
        <f t="shared" si="55"/>
        <v>44285.5</v>
      </c>
      <c r="H121" s="486">
        <f t="shared" si="56"/>
        <v>7098.3707357948906</v>
      </c>
      <c r="I121" s="540">
        <f t="shared" si="57"/>
        <v>7098.3707357948906</v>
      </c>
      <c r="J121" s="476">
        <f t="shared" si="33"/>
        <v>0</v>
      </c>
      <c r="K121" s="476"/>
      <c r="L121" s="485"/>
      <c r="M121" s="476">
        <f t="shared" si="34"/>
        <v>0</v>
      </c>
      <c r="N121" s="485"/>
      <c r="O121" s="476">
        <f t="shared" si="35"/>
        <v>0</v>
      </c>
      <c r="P121" s="476">
        <f t="shared" si="36"/>
        <v>0</v>
      </c>
    </row>
    <row r="122" spans="2:16">
      <c r="B122" s="160" t="str">
        <f t="shared" si="37"/>
        <v/>
      </c>
      <c r="C122" s="470">
        <f>IF(D93="","-",+C121+1)</f>
        <v>2030</v>
      </c>
      <c r="D122" s="345">
        <f>IF(F121+SUM(E$99:E121)=D$92,F121,D$92-SUM(E$99:E121))</f>
        <v>43256</v>
      </c>
      <c r="E122" s="484">
        <f>IF(+J96&lt;F121,J96,D122)</f>
        <v>2059</v>
      </c>
      <c r="F122" s="483">
        <f t="shared" si="54"/>
        <v>41197</v>
      </c>
      <c r="G122" s="483">
        <f t="shared" si="55"/>
        <v>42226.5</v>
      </c>
      <c r="H122" s="486">
        <f t="shared" si="56"/>
        <v>6864.0713749431061</v>
      </c>
      <c r="I122" s="540">
        <f t="shared" si="57"/>
        <v>6864.0713749431061</v>
      </c>
      <c r="J122" s="476">
        <f t="shared" si="33"/>
        <v>0</v>
      </c>
      <c r="K122" s="476"/>
      <c r="L122" s="485"/>
      <c r="M122" s="476">
        <f t="shared" si="34"/>
        <v>0</v>
      </c>
      <c r="N122" s="485"/>
      <c r="O122" s="476">
        <f t="shared" si="35"/>
        <v>0</v>
      </c>
      <c r="P122" s="476">
        <f t="shared" si="36"/>
        <v>0</v>
      </c>
    </row>
    <row r="123" spans="2:16">
      <c r="B123" s="160" t="str">
        <f t="shared" si="37"/>
        <v/>
      </c>
      <c r="C123" s="470">
        <f>IF(D93="","-",+C122+1)</f>
        <v>2031</v>
      </c>
      <c r="D123" s="345">
        <f>IF(F122+SUM(E$99:E122)=D$92,F122,D$92-SUM(E$99:E122))</f>
        <v>41197</v>
      </c>
      <c r="E123" s="484">
        <f>IF(+J96&lt;F122,J96,D123)</f>
        <v>2059</v>
      </c>
      <c r="F123" s="483">
        <f t="shared" si="54"/>
        <v>39138</v>
      </c>
      <c r="G123" s="483">
        <f t="shared" si="55"/>
        <v>40167.5</v>
      </c>
      <c r="H123" s="486">
        <f t="shared" si="56"/>
        <v>6629.7720140913225</v>
      </c>
      <c r="I123" s="540">
        <f t="shared" si="57"/>
        <v>6629.7720140913225</v>
      </c>
      <c r="J123" s="476">
        <f t="shared" si="33"/>
        <v>0</v>
      </c>
      <c r="K123" s="476"/>
      <c r="L123" s="485"/>
      <c r="M123" s="476">
        <f t="shared" si="34"/>
        <v>0</v>
      </c>
      <c r="N123" s="485"/>
      <c r="O123" s="476">
        <f t="shared" si="35"/>
        <v>0</v>
      </c>
      <c r="P123" s="476">
        <f t="shared" si="36"/>
        <v>0</v>
      </c>
    </row>
    <row r="124" spans="2:16">
      <c r="B124" s="160" t="str">
        <f t="shared" si="37"/>
        <v/>
      </c>
      <c r="C124" s="470">
        <f>IF(D93="","-",+C123+1)</f>
        <v>2032</v>
      </c>
      <c r="D124" s="345">
        <f>IF(F123+SUM(E$99:E123)=D$92,F123,D$92-SUM(E$99:E123))</f>
        <v>39138</v>
      </c>
      <c r="E124" s="484">
        <f>IF(+J96&lt;F123,J96,D124)</f>
        <v>2059</v>
      </c>
      <c r="F124" s="483">
        <f t="shared" si="54"/>
        <v>37079</v>
      </c>
      <c r="G124" s="483">
        <f t="shared" si="55"/>
        <v>38108.5</v>
      </c>
      <c r="H124" s="486">
        <f t="shared" si="56"/>
        <v>6395.4726532395389</v>
      </c>
      <c r="I124" s="540">
        <f t="shared" si="57"/>
        <v>6395.4726532395389</v>
      </c>
      <c r="J124" s="476">
        <f t="shared" si="33"/>
        <v>0</v>
      </c>
      <c r="K124" s="476"/>
      <c r="L124" s="485"/>
      <c r="M124" s="476">
        <f t="shared" si="34"/>
        <v>0</v>
      </c>
      <c r="N124" s="485"/>
      <c r="O124" s="476">
        <f t="shared" si="35"/>
        <v>0</v>
      </c>
      <c r="P124" s="476">
        <f t="shared" si="36"/>
        <v>0</v>
      </c>
    </row>
    <row r="125" spans="2:16">
      <c r="B125" s="160" t="str">
        <f t="shared" si="37"/>
        <v/>
      </c>
      <c r="C125" s="470">
        <f>IF(D93="","-",+C124+1)</f>
        <v>2033</v>
      </c>
      <c r="D125" s="345">
        <f>IF(F124+SUM(E$99:E124)=D$92,F124,D$92-SUM(E$99:E124))</f>
        <v>37079</v>
      </c>
      <c r="E125" s="484">
        <f>IF(+J96&lt;F124,J96,D125)</f>
        <v>2059</v>
      </c>
      <c r="F125" s="483">
        <f t="shared" si="54"/>
        <v>35020</v>
      </c>
      <c r="G125" s="483">
        <f t="shared" si="55"/>
        <v>36049.5</v>
      </c>
      <c r="H125" s="486">
        <f t="shared" si="56"/>
        <v>6161.1732923877544</v>
      </c>
      <c r="I125" s="540">
        <f t="shared" si="57"/>
        <v>6161.1732923877544</v>
      </c>
      <c r="J125" s="476">
        <f t="shared" si="33"/>
        <v>0</v>
      </c>
      <c r="K125" s="476"/>
      <c r="L125" s="485"/>
      <c r="M125" s="476">
        <f t="shared" si="34"/>
        <v>0</v>
      </c>
      <c r="N125" s="485"/>
      <c r="O125" s="476">
        <f t="shared" si="35"/>
        <v>0</v>
      </c>
      <c r="P125" s="476">
        <f t="shared" si="36"/>
        <v>0</v>
      </c>
    </row>
    <row r="126" spans="2:16">
      <c r="B126" s="160" t="str">
        <f t="shared" si="37"/>
        <v/>
      </c>
      <c r="C126" s="470">
        <f>IF(D93="","-",+C125+1)</f>
        <v>2034</v>
      </c>
      <c r="D126" s="345">
        <f>IF(F125+SUM(E$99:E125)=D$92,F125,D$92-SUM(E$99:E125))</f>
        <v>35020</v>
      </c>
      <c r="E126" s="484">
        <f>IF(+J96&lt;F125,J96,D126)</f>
        <v>2059</v>
      </c>
      <c r="F126" s="483">
        <f t="shared" si="54"/>
        <v>32961</v>
      </c>
      <c r="G126" s="483">
        <f t="shared" si="55"/>
        <v>33990.5</v>
      </c>
      <c r="H126" s="486">
        <f t="shared" si="56"/>
        <v>5926.8739315359708</v>
      </c>
      <c r="I126" s="540">
        <f t="shared" si="57"/>
        <v>5926.8739315359708</v>
      </c>
      <c r="J126" s="476">
        <f t="shared" si="33"/>
        <v>0</v>
      </c>
      <c r="K126" s="476"/>
      <c r="L126" s="485"/>
      <c r="M126" s="476">
        <f t="shared" si="34"/>
        <v>0</v>
      </c>
      <c r="N126" s="485"/>
      <c r="O126" s="476">
        <f t="shared" si="35"/>
        <v>0</v>
      </c>
      <c r="P126" s="476">
        <f t="shared" si="36"/>
        <v>0</v>
      </c>
    </row>
    <row r="127" spans="2:16">
      <c r="B127" s="160" t="str">
        <f t="shared" si="37"/>
        <v/>
      </c>
      <c r="C127" s="470">
        <f>IF(D93="","-",+C126+1)</f>
        <v>2035</v>
      </c>
      <c r="D127" s="345">
        <f>IF(F126+SUM(E$99:E126)=D$92,F126,D$92-SUM(E$99:E126))</f>
        <v>32961</v>
      </c>
      <c r="E127" s="484">
        <f>IF(+J96&lt;F126,J96,D127)</f>
        <v>2059</v>
      </c>
      <c r="F127" s="483">
        <f t="shared" si="54"/>
        <v>30902</v>
      </c>
      <c r="G127" s="483">
        <f t="shared" si="55"/>
        <v>31931.5</v>
      </c>
      <c r="H127" s="486">
        <f t="shared" si="56"/>
        <v>5692.5745706841863</v>
      </c>
      <c r="I127" s="540">
        <f t="shared" si="57"/>
        <v>5692.5745706841863</v>
      </c>
      <c r="J127" s="476">
        <f t="shared" si="33"/>
        <v>0</v>
      </c>
      <c r="K127" s="476"/>
      <c r="L127" s="485"/>
      <c r="M127" s="476">
        <f t="shared" si="34"/>
        <v>0</v>
      </c>
      <c r="N127" s="485"/>
      <c r="O127" s="476">
        <f t="shared" si="35"/>
        <v>0</v>
      </c>
      <c r="P127" s="476">
        <f t="shared" si="36"/>
        <v>0</v>
      </c>
    </row>
    <row r="128" spans="2:16">
      <c r="B128" s="160" t="str">
        <f t="shared" si="37"/>
        <v/>
      </c>
      <c r="C128" s="470">
        <f>IF(D93="","-",+C127+1)</f>
        <v>2036</v>
      </c>
      <c r="D128" s="345">
        <f>IF(F127+SUM(E$99:E127)=D$92,F127,D$92-SUM(E$99:E127))</f>
        <v>30902</v>
      </c>
      <c r="E128" s="484">
        <f>IF(+J96&lt;F127,J96,D128)</f>
        <v>2059</v>
      </c>
      <c r="F128" s="483">
        <f t="shared" si="54"/>
        <v>28843</v>
      </c>
      <c r="G128" s="483">
        <f t="shared" si="55"/>
        <v>29872.5</v>
      </c>
      <c r="H128" s="486">
        <f t="shared" si="56"/>
        <v>5458.2752098324027</v>
      </c>
      <c r="I128" s="540">
        <f t="shared" si="57"/>
        <v>5458.2752098324027</v>
      </c>
      <c r="J128" s="476">
        <f t="shared" si="33"/>
        <v>0</v>
      </c>
      <c r="K128" s="476"/>
      <c r="L128" s="485"/>
      <c r="M128" s="476">
        <f t="shared" si="34"/>
        <v>0</v>
      </c>
      <c r="N128" s="485"/>
      <c r="O128" s="476">
        <f t="shared" si="35"/>
        <v>0</v>
      </c>
      <c r="P128" s="476">
        <f t="shared" si="36"/>
        <v>0</v>
      </c>
    </row>
    <row r="129" spans="2:16">
      <c r="B129" s="160" t="str">
        <f t="shared" si="37"/>
        <v/>
      </c>
      <c r="C129" s="470">
        <f>IF(D93="","-",+C128+1)</f>
        <v>2037</v>
      </c>
      <c r="D129" s="345">
        <f>IF(F128+SUM(E$99:E128)=D$92,F128,D$92-SUM(E$99:E128))</f>
        <v>28843</v>
      </c>
      <c r="E129" s="484">
        <f>IF(+J96&lt;F128,J96,D129)</f>
        <v>2059</v>
      </c>
      <c r="F129" s="483">
        <f t="shared" si="54"/>
        <v>26784</v>
      </c>
      <c r="G129" s="483">
        <f t="shared" si="55"/>
        <v>27813.5</v>
      </c>
      <c r="H129" s="486">
        <f t="shared" si="56"/>
        <v>5223.975848980619</v>
      </c>
      <c r="I129" s="540">
        <f t="shared" si="57"/>
        <v>5223.975848980619</v>
      </c>
      <c r="J129" s="476">
        <f t="shared" si="33"/>
        <v>0</v>
      </c>
      <c r="K129" s="476"/>
      <c r="L129" s="485"/>
      <c r="M129" s="476">
        <f t="shared" si="34"/>
        <v>0</v>
      </c>
      <c r="N129" s="485"/>
      <c r="O129" s="476">
        <f t="shared" si="35"/>
        <v>0</v>
      </c>
      <c r="P129" s="476">
        <f t="shared" si="36"/>
        <v>0</v>
      </c>
    </row>
    <row r="130" spans="2:16">
      <c r="B130" s="160" t="str">
        <f t="shared" si="37"/>
        <v/>
      </c>
      <c r="C130" s="470">
        <f>IF(D93="","-",+C129+1)</f>
        <v>2038</v>
      </c>
      <c r="D130" s="345">
        <f>IF(F129+SUM(E$99:E129)=D$92,F129,D$92-SUM(E$99:E129))</f>
        <v>26784</v>
      </c>
      <c r="E130" s="484">
        <f>IF(+J96&lt;F129,J96,D130)</f>
        <v>2059</v>
      </c>
      <c r="F130" s="483">
        <f t="shared" ref="F130:F153" si="58">+D130-E130</f>
        <v>24725</v>
      </c>
      <c r="G130" s="483">
        <f t="shared" ref="G130:G153" si="59">+(F130+D130)/2</f>
        <v>25754.5</v>
      </c>
      <c r="H130" s="486">
        <f t="shared" si="56"/>
        <v>4989.6764881288345</v>
      </c>
      <c r="I130" s="540">
        <f t="shared" si="57"/>
        <v>4989.6764881288345</v>
      </c>
      <c r="J130" s="476">
        <f t="shared" si="33"/>
        <v>0</v>
      </c>
      <c r="K130" s="476"/>
      <c r="L130" s="485"/>
      <c r="M130" s="476">
        <f t="shared" si="34"/>
        <v>0</v>
      </c>
      <c r="N130" s="485"/>
      <c r="O130" s="476">
        <f t="shared" si="35"/>
        <v>0</v>
      </c>
      <c r="P130" s="476">
        <f t="shared" si="36"/>
        <v>0</v>
      </c>
    </row>
    <row r="131" spans="2:16">
      <c r="B131" s="160" t="str">
        <f t="shared" si="37"/>
        <v/>
      </c>
      <c r="C131" s="470">
        <f>IF(D93="","-",+C130+1)</f>
        <v>2039</v>
      </c>
      <c r="D131" s="345">
        <f>IF(F130+SUM(E$99:E130)=D$92,F130,D$92-SUM(E$99:E130))</f>
        <v>24725</v>
      </c>
      <c r="E131" s="484">
        <f>IF(+J96&lt;F130,J96,D131)</f>
        <v>2059</v>
      </c>
      <c r="F131" s="483">
        <f t="shared" si="58"/>
        <v>22666</v>
      </c>
      <c r="G131" s="483">
        <f t="shared" si="59"/>
        <v>23695.5</v>
      </c>
      <c r="H131" s="486">
        <f t="shared" si="56"/>
        <v>4755.37712727705</v>
      </c>
      <c r="I131" s="540">
        <f t="shared" si="57"/>
        <v>4755.37712727705</v>
      </c>
      <c r="J131" s="476">
        <f t="shared" ref="J131:J154" si="60">+I382-H382</f>
        <v>0</v>
      </c>
      <c r="K131" s="476"/>
      <c r="L131" s="485"/>
      <c r="M131" s="476">
        <f t="shared" ref="M131:M154" si="61">IF(L382&lt;&gt;0,+H382-L382,0)</f>
        <v>0</v>
      </c>
      <c r="N131" s="485"/>
      <c r="O131" s="476">
        <f t="shared" ref="O131:O154" si="62">IF(N382&lt;&gt;0,+I382-N382,0)</f>
        <v>0</v>
      </c>
      <c r="P131" s="476">
        <f t="shared" ref="P131:P154" si="63">+O382-M382</f>
        <v>0</v>
      </c>
    </row>
    <row r="132" spans="2:16">
      <c r="B132" s="160" t="str">
        <f t="shared" si="37"/>
        <v/>
      </c>
      <c r="C132" s="470">
        <f>IF(D93="","-",+C131+1)</f>
        <v>2040</v>
      </c>
      <c r="D132" s="345">
        <f>IF(F131+SUM(E$99:E131)=D$92,F131,D$92-SUM(E$99:E131))</f>
        <v>22666</v>
      </c>
      <c r="E132" s="484">
        <f>IF(+J96&lt;F131,J96,D132)</f>
        <v>2059</v>
      </c>
      <c r="F132" s="483">
        <f t="shared" si="58"/>
        <v>20607</v>
      </c>
      <c r="G132" s="483">
        <f t="shared" si="59"/>
        <v>21636.5</v>
      </c>
      <c r="H132" s="486">
        <f t="shared" si="56"/>
        <v>4521.0777664252673</v>
      </c>
      <c r="I132" s="540">
        <f t="shared" si="57"/>
        <v>4521.0777664252673</v>
      </c>
      <c r="J132" s="476">
        <f t="shared" si="60"/>
        <v>0</v>
      </c>
      <c r="K132" s="476"/>
      <c r="L132" s="485"/>
      <c r="M132" s="476">
        <f t="shared" si="61"/>
        <v>0</v>
      </c>
      <c r="N132" s="485"/>
      <c r="O132" s="476">
        <f t="shared" si="62"/>
        <v>0</v>
      </c>
      <c r="P132" s="476">
        <f t="shared" si="63"/>
        <v>0</v>
      </c>
    </row>
    <row r="133" spans="2:16">
      <c r="B133" s="160" t="str">
        <f t="shared" si="37"/>
        <v/>
      </c>
      <c r="C133" s="470">
        <f>IF(D93="","-",+C132+1)</f>
        <v>2041</v>
      </c>
      <c r="D133" s="345">
        <f>IF(F132+SUM(E$99:E132)=D$92,F132,D$92-SUM(E$99:E132))</f>
        <v>20607</v>
      </c>
      <c r="E133" s="484">
        <f>IF(+J96&lt;F132,J96,D133)</f>
        <v>2059</v>
      </c>
      <c r="F133" s="483">
        <f t="shared" si="58"/>
        <v>18548</v>
      </c>
      <c r="G133" s="483">
        <f t="shared" si="59"/>
        <v>19577.5</v>
      </c>
      <c r="H133" s="486">
        <f t="shared" si="56"/>
        <v>4286.7784055734828</v>
      </c>
      <c r="I133" s="540">
        <f t="shared" si="57"/>
        <v>4286.7784055734828</v>
      </c>
      <c r="J133" s="476">
        <f t="shared" si="60"/>
        <v>0</v>
      </c>
      <c r="K133" s="476"/>
      <c r="L133" s="485"/>
      <c r="M133" s="476">
        <f t="shared" si="61"/>
        <v>0</v>
      </c>
      <c r="N133" s="485"/>
      <c r="O133" s="476">
        <f t="shared" si="62"/>
        <v>0</v>
      </c>
      <c r="P133" s="476">
        <f t="shared" si="63"/>
        <v>0</v>
      </c>
    </row>
    <row r="134" spans="2:16">
      <c r="B134" s="160" t="str">
        <f t="shared" si="37"/>
        <v/>
      </c>
      <c r="C134" s="470">
        <f>IF(D93="","-",+C133+1)</f>
        <v>2042</v>
      </c>
      <c r="D134" s="345">
        <f>IF(F133+SUM(E$99:E133)=D$92,F133,D$92-SUM(E$99:E133))</f>
        <v>18548</v>
      </c>
      <c r="E134" s="484">
        <f>IF(+J96&lt;F133,J96,D134)</f>
        <v>2059</v>
      </c>
      <c r="F134" s="483">
        <f t="shared" si="58"/>
        <v>16489</v>
      </c>
      <c r="G134" s="483">
        <f t="shared" si="59"/>
        <v>17518.5</v>
      </c>
      <c r="H134" s="486">
        <f t="shared" si="56"/>
        <v>4052.4790447216988</v>
      </c>
      <c r="I134" s="540">
        <f t="shared" si="57"/>
        <v>4052.4790447216988</v>
      </c>
      <c r="J134" s="476">
        <f t="shared" si="60"/>
        <v>0</v>
      </c>
      <c r="K134" s="476"/>
      <c r="L134" s="485"/>
      <c r="M134" s="476">
        <f t="shared" si="61"/>
        <v>0</v>
      </c>
      <c r="N134" s="485"/>
      <c r="O134" s="476">
        <f t="shared" si="62"/>
        <v>0</v>
      </c>
      <c r="P134" s="476">
        <f t="shared" si="63"/>
        <v>0</v>
      </c>
    </row>
    <row r="135" spans="2:16">
      <c r="B135" s="160" t="str">
        <f t="shared" si="37"/>
        <v/>
      </c>
      <c r="C135" s="470">
        <f>IF(D93="","-",+C134+1)</f>
        <v>2043</v>
      </c>
      <c r="D135" s="345">
        <f>IF(F134+SUM(E$99:E134)=D$92,F134,D$92-SUM(E$99:E134))</f>
        <v>16489</v>
      </c>
      <c r="E135" s="484">
        <f>IF(+J96&lt;F134,J96,D135)</f>
        <v>2059</v>
      </c>
      <c r="F135" s="483">
        <f t="shared" si="58"/>
        <v>14430</v>
      </c>
      <c r="G135" s="483">
        <f t="shared" si="59"/>
        <v>15459.5</v>
      </c>
      <c r="H135" s="486">
        <f t="shared" si="56"/>
        <v>3818.1796838699147</v>
      </c>
      <c r="I135" s="540">
        <f t="shared" si="57"/>
        <v>3818.1796838699147</v>
      </c>
      <c r="J135" s="476">
        <f t="shared" si="60"/>
        <v>0</v>
      </c>
      <c r="K135" s="476"/>
      <c r="L135" s="485"/>
      <c r="M135" s="476">
        <f t="shared" si="61"/>
        <v>0</v>
      </c>
      <c r="N135" s="485"/>
      <c r="O135" s="476">
        <f t="shared" si="62"/>
        <v>0</v>
      </c>
      <c r="P135" s="476">
        <f t="shared" si="63"/>
        <v>0</v>
      </c>
    </row>
    <row r="136" spans="2:16">
      <c r="B136" s="160" t="str">
        <f t="shared" si="37"/>
        <v/>
      </c>
      <c r="C136" s="470">
        <f>IF(D93="","-",+C135+1)</f>
        <v>2044</v>
      </c>
      <c r="D136" s="345">
        <f>IF(F135+SUM(E$99:E135)=D$92,F135,D$92-SUM(E$99:E135))</f>
        <v>14430</v>
      </c>
      <c r="E136" s="484">
        <f>IF(+J96&lt;F135,J96,D136)</f>
        <v>2059</v>
      </c>
      <c r="F136" s="483">
        <f t="shared" si="58"/>
        <v>12371</v>
      </c>
      <c r="G136" s="483">
        <f t="shared" si="59"/>
        <v>13400.5</v>
      </c>
      <c r="H136" s="486">
        <f t="shared" si="56"/>
        <v>3583.8803230181306</v>
      </c>
      <c r="I136" s="540">
        <f t="shared" si="57"/>
        <v>3583.8803230181306</v>
      </c>
      <c r="J136" s="476">
        <f t="shared" si="60"/>
        <v>0</v>
      </c>
      <c r="K136" s="476"/>
      <c r="L136" s="485"/>
      <c r="M136" s="476">
        <f t="shared" si="61"/>
        <v>0</v>
      </c>
      <c r="N136" s="485"/>
      <c r="O136" s="476">
        <f t="shared" si="62"/>
        <v>0</v>
      </c>
      <c r="P136" s="476">
        <f t="shared" si="63"/>
        <v>0</v>
      </c>
    </row>
    <row r="137" spans="2:16">
      <c r="B137" s="160" t="str">
        <f t="shared" si="37"/>
        <v/>
      </c>
      <c r="C137" s="470">
        <f>IF(D93="","-",+C136+1)</f>
        <v>2045</v>
      </c>
      <c r="D137" s="345">
        <f>IF(F136+SUM(E$99:E136)=D$92,F136,D$92-SUM(E$99:E136))</f>
        <v>12371</v>
      </c>
      <c r="E137" s="484">
        <f>IF(+J96&lt;F136,J96,D137)</f>
        <v>2059</v>
      </c>
      <c r="F137" s="483">
        <f t="shared" si="58"/>
        <v>10312</v>
      </c>
      <c r="G137" s="483">
        <f t="shared" si="59"/>
        <v>11341.5</v>
      </c>
      <c r="H137" s="486">
        <f t="shared" si="56"/>
        <v>3349.5809621663466</v>
      </c>
      <c r="I137" s="540">
        <f t="shared" si="57"/>
        <v>3349.5809621663466</v>
      </c>
      <c r="J137" s="476">
        <f t="shared" si="60"/>
        <v>0</v>
      </c>
      <c r="K137" s="476"/>
      <c r="L137" s="485"/>
      <c r="M137" s="476">
        <f t="shared" si="61"/>
        <v>0</v>
      </c>
      <c r="N137" s="485"/>
      <c r="O137" s="476">
        <f t="shared" si="62"/>
        <v>0</v>
      </c>
      <c r="P137" s="476">
        <f t="shared" si="63"/>
        <v>0</v>
      </c>
    </row>
    <row r="138" spans="2:16">
      <c r="B138" s="160" t="str">
        <f t="shared" si="37"/>
        <v/>
      </c>
      <c r="C138" s="470">
        <f>IF(D93="","-",+C137+1)</f>
        <v>2046</v>
      </c>
      <c r="D138" s="345">
        <f>IF(F137+SUM(E$99:E137)=D$92,F137,D$92-SUM(E$99:E137))</f>
        <v>10312</v>
      </c>
      <c r="E138" s="484">
        <f>IF(+J96&lt;F137,J96,D138)</f>
        <v>2059</v>
      </c>
      <c r="F138" s="483">
        <f t="shared" si="58"/>
        <v>8253</v>
      </c>
      <c r="G138" s="483">
        <f t="shared" si="59"/>
        <v>9282.5</v>
      </c>
      <c r="H138" s="486">
        <f t="shared" si="56"/>
        <v>3115.281601314563</v>
      </c>
      <c r="I138" s="540">
        <f t="shared" si="57"/>
        <v>3115.281601314563</v>
      </c>
      <c r="J138" s="476">
        <f t="shared" si="60"/>
        <v>0</v>
      </c>
      <c r="K138" s="476"/>
      <c r="L138" s="485"/>
      <c r="M138" s="476">
        <f t="shared" si="61"/>
        <v>0</v>
      </c>
      <c r="N138" s="485"/>
      <c r="O138" s="476">
        <f t="shared" si="62"/>
        <v>0</v>
      </c>
      <c r="P138" s="476">
        <f t="shared" si="63"/>
        <v>0</v>
      </c>
    </row>
    <row r="139" spans="2:16">
      <c r="B139" s="160" t="str">
        <f t="shared" si="37"/>
        <v/>
      </c>
      <c r="C139" s="470">
        <f>IF(D93="","-",+C138+1)</f>
        <v>2047</v>
      </c>
      <c r="D139" s="345">
        <f>IF(F138+SUM(E$99:E138)=D$92,F138,D$92-SUM(E$99:E138))</f>
        <v>8253</v>
      </c>
      <c r="E139" s="484">
        <f>IF(+J96&lt;F138,J96,D139)</f>
        <v>2059</v>
      </c>
      <c r="F139" s="483">
        <f t="shared" si="58"/>
        <v>6194</v>
      </c>
      <c r="G139" s="483">
        <f t="shared" si="59"/>
        <v>7223.5</v>
      </c>
      <c r="H139" s="486">
        <f t="shared" si="56"/>
        <v>2880.9822404627789</v>
      </c>
      <c r="I139" s="540">
        <f t="shared" si="57"/>
        <v>2880.9822404627789</v>
      </c>
      <c r="J139" s="476">
        <f t="shared" si="60"/>
        <v>0</v>
      </c>
      <c r="K139" s="476"/>
      <c r="L139" s="485"/>
      <c r="M139" s="476">
        <f t="shared" si="61"/>
        <v>0</v>
      </c>
      <c r="N139" s="485"/>
      <c r="O139" s="476">
        <f t="shared" si="62"/>
        <v>0</v>
      </c>
      <c r="P139" s="476">
        <f t="shared" si="63"/>
        <v>0</v>
      </c>
    </row>
    <row r="140" spans="2:16">
      <c r="B140" s="160" t="str">
        <f t="shared" si="37"/>
        <v/>
      </c>
      <c r="C140" s="470">
        <f>IF(D93="","-",+C139+1)</f>
        <v>2048</v>
      </c>
      <c r="D140" s="345">
        <f>IF(F139+SUM(E$99:E139)=D$92,F139,D$92-SUM(E$99:E139))</f>
        <v>6194</v>
      </c>
      <c r="E140" s="484">
        <f>IF(+J96&lt;F139,J96,D140)</f>
        <v>2059</v>
      </c>
      <c r="F140" s="483">
        <f t="shared" si="58"/>
        <v>4135</v>
      </c>
      <c r="G140" s="483">
        <f t="shared" si="59"/>
        <v>5164.5</v>
      </c>
      <c r="H140" s="486">
        <f t="shared" si="56"/>
        <v>2646.6828796109949</v>
      </c>
      <c r="I140" s="540">
        <f t="shared" si="57"/>
        <v>2646.6828796109949</v>
      </c>
      <c r="J140" s="476">
        <f t="shared" si="60"/>
        <v>0</v>
      </c>
      <c r="K140" s="476"/>
      <c r="L140" s="485"/>
      <c r="M140" s="476">
        <f t="shared" si="61"/>
        <v>0</v>
      </c>
      <c r="N140" s="485"/>
      <c r="O140" s="476">
        <f t="shared" si="62"/>
        <v>0</v>
      </c>
      <c r="P140" s="476">
        <f t="shared" si="63"/>
        <v>0</v>
      </c>
    </row>
    <row r="141" spans="2:16">
      <c r="B141" s="160" t="str">
        <f t="shared" si="37"/>
        <v/>
      </c>
      <c r="C141" s="470">
        <f>IF(D93="","-",+C140+1)</f>
        <v>2049</v>
      </c>
      <c r="D141" s="345">
        <f>IF(F140+SUM(E$99:E140)=D$92,F140,D$92-SUM(E$99:E140))</f>
        <v>4135</v>
      </c>
      <c r="E141" s="484">
        <f>IF(+J96&lt;F140,J96,D141)</f>
        <v>2059</v>
      </c>
      <c r="F141" s="483">
        <f t="shared" si="58"/>
        <v>2076</v>
      </c>
      <c r="G141" s="483">
        <f t="shared" si="59"/>
        <v>3105.5</v>
      </c>
      <c r="H141" s="486">
        <f t="shared" si="56"/>
        <v>2412.3835187592108</v>
      </c>
      <c r="I141" s="540">
        <f t="shared" si="57"/>
        <v>2412.3835187592108</v>
      </c>
      <c r="J141" s="476">
        <f t="shared" si="60"/>
        <v>0</v>
      </c>
      <c r="K141" s="476"/>
      <c r="L141" s="485"/>
      <c r="M141" s="476">
        <f t="shared" si="61"/>
        <v>0</v>
      </c>
      <c r="N141" s="485"/>
      <c r="O141" s="476">
        <f t="shared" si="62"/>
        <v>0</v>
      </c>
      <c r="P141" s="476">
        <f t="shared" si="63"/>
        <v>0</v>
      </c>
    </row>
    <row r="142" spans="2:16">
      <c r="B142" s="160" t="str">
        <f t="shared" si="37"/>
        <v/>
      </c>
      <c r="C142" s="470">
        <f>IF(D93="","-",+C141+1)</f>
        <v>2050</v>
      </c>
      <c r="D142" s="345">
        <f>IF(F141+SUM(E$99:E141)=D$92,F141,D$92-SUM(E$99:E141))</f>
        <v>2076</v>
      </c>
      <c r="E142" s="484">
        <f>IF(+J96&lt;F141,J96,D142)</f>
        <v>2059</v>
      </c>
      <c r="F142" s="483">
        <f t="shared" si="58"/>
        <v>17</v>
      </c>
      <c r="G142" s="483">
        <f t="shared" si="59"/>
        <v>1046.5</v>
      </c>
      <c r="H142" s="486">
        <f t="shared" si="56"/>
        <v>2178.0841579074267</v>
      </c>
      <c r="I142" s="540">
        <f t="shared" si="57"/>
        <v>2178.0841579074267</v>
      </c>
      <c r="J142" s="476">
        <f t="shared" si="60"/>
        <v>0</v>
      </c>
      <c r="K142" s="476"/>
      <c r="L142" s="485"/>
      <c r="M142" s="476">
        <f t="shared" si="61"/>
        <v>0</v>
      </c>
      <c r="N142" s="485"/>
      <c r="O142" s="476">
        <f t="shared" si="62"/>
        <v>0</v>
      </c>
      <c r="P142" s="476">
        <f t="shared" si="63"/>
        <v>0</v>
      </c>
    </row>
    <row r="143" spans="2:16">
      <c r="B143" s="160" t="str">
        <f t="shared" si="37"/>
        <v/>
      </c>
      <c r="C143" s="470">
        <f>IF(D93="","-",+C142+1)</f>
        <v>2051</v>
      </c>
      <c r="D143" s="345">
        <f>IF(F142+SUM(E$99:E142)=D$92,F142,D$92-SUM(E$99:E142))</f>
        <v>17</v>
      </c>
      <c r="E143" s="484">
        <f>IF(+J96&lt;F142,J96,D143)</f>
        <v>17</v>
      </c>
      <c r="F143" s="483">
        <f t="shared" si="58"/>
        <v>0</v>
      </c>
      <c r="G143" s="483">
        <f t="shared" si="59"/>
        <v>8.5</v>
      </c>
      <c r="H143" s="486">
        <f t="shared" si="56"/>
        <v>17.967238740767442</v>
      </c>
      <c r="I143" s="540">
        <f t="shared" si="57"/>
        <v>17.967238740767442</v>
      </c>
      <c r="J143" s="476">
        <f t="shared" si="60"/>
        <v>0</v>
      </c>
      <c r="K143" s="476"/>
      <c r="L143" s="485"/>
      <c r="M143" s="476">
        <f t="shared" si="61"/>
        <v>0</v>
      </c>
      <c r="N143" s="485"/>
      <c r="O143" s="476">
        <f t="shared" si="62"/>
        <v>0</v>
      </c>
      <c r="P143" s="476">
        <f t="shared" si="63"/>
        <v>0</v>
      </c>
    </row>
    <row r="144" spans="2:16">
      <c r="B144" s="160" t="str">
        <f t="shared" si="37"/>
        <v/>
      </c>
      <c r="C144" s="470">
        <f>IF(D93="","-",+C143+1)</f>
        <v>2052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58"/>
        <v>0</v>
      </c>
      <c r="G144" s="483">
        <f t="shared" si="59"/>
        <v>0</v>
      </c>
      <c r="H144" s="486">
        <f t="shared" si="56"/>
        <v>0</v>
      </c>
      <c r="I144" s="540">
        <f t="shared" si="57"/>
        <v>0</v>
      </c>
      <c r="J144" s="476">
        <f t="shared" si="60"/>
        <v>0</v>
      </c>
      <c r="K144" s="476"/>
      <c r="L144" s="485"/>
      <c r="M144" s="476">
        <f t="shared" si="61"/>
        <v>0</v>
      </c>
      <c r="N144" s="485"/>
      <c r="O144" s="476">
        <f t="shared" si="62"/>
        <v>0</v>
      </c>
      <c r="P144" s="476">
        <f t="shared" si="63"/>
        <v>0</v>
      </c>
    </row>
    <row r="145" spans="2:16">
      <c r="B145" s="160" t="str">
        <f t="shared" si="37"/>
        <v/>
      </c>
      <c r="C145" s="470">
        <f>IF(D93="","-",+C144+1)</f>
        <v>2053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58"/>
        <v>0</v>
      </c>
      <c r="G145" s="483">
        <f t="shared" si="59"/>
        <v>0</v>
      </c>
      <c r="H145" s="486">
        <f t="shared" si="56"/>
        <v>0</v>
      </c>
      <c r="I145" s="540">
        <f t="shared" si="57"/>
        <v>0</v>
      </c>
      <c r="J145" s="476">
        <f t="shared" si="60"/>
        <v>0</v>
      </c>
      <c r="K145" s="476"/>
      <c r="L145" s="485"/>
      <c r="M145" s="476">
        <f t="shared" si="61"/>
        <v>0</v>
      </c>
      <c r="N145" s="485"/>
      <c r="O145" s="476">
        <f t="shared" si="62"/>
        <v>0</v>
      </c>
      <c r="P145" s="476">
        <f t="shared" si="63"/>
        <v>0</v>
      </c>
    </row>
    <row r="146" spans="2:16">
      <c r="B146" s="160" t="str">
        <f t="shared" si="37"/>
        <v/>
      </c>
      <c r="C146" s="470">
        <f>IF(D93="","-",+C145+1)</f>
        <v>2054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si="58"/>
        <v>0</v>
      </c>
      <c r="G146" s="483">
        <f t="shared" si="59"/>
        <v>0</v>
      </c>
      <c r="H146" s="486">
        <f t="shared" si="56"/>
        <v>0</v>
      </c>
      <c r="I146" s="540">
        <f t="shared" si="57"/>
        <v>0</v>
      </c>
      <c r="J146" s="476">
        <f t="shared" si="60"/>
        <v>0</v>
      </c>
      <c r="K146" s="476"/>
      <c r="L146" s="485"/>
      <c r="M146" s="476">
        <f t="shared" si="61"/>
        <v>0</v>
      </c>
      <c r="N146" s="485"/>
      <c r="O146" s="476">
        <f t="shared" si="62"/>
        <v>0</v>
      </c>
      <c r="P146" s="476">
        <f t="shared" si="63"/>
        <v>0</v>
      </c>
    </row>
    <row r="147" spans="2:16">
      <c r="B147" s="160" t="str">
        <f t="shared" si="37"/>
        <v/>
      </c>
      <c r="C147" s="470">
        <f>IF(D93="","-",+C146+1)</f>
        <v>2055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58"/>
        <v>0</v>
      </c>
      <c r="G147" s="483">
        <f t="shared" si="59"/>
        <v>0</v>
      </c>
      <c r="H147" s="486">
        <f t="shared" si="56"/>
        <v>0</v>
      </c>
      <c r="I147" s="540">
        <f t="shared" si="57"/>
        <v>0</v>
      </c>
      <c r="J147" s="476">
        <f t="shared" si="60"/>
        <v>0</v>
      </c>
      <c r="K147" s="476"/>
      <c r="L147" s="485"/>
      <c r="M147" s="476">
        <f t="shared" si="61"/>
        <v>0</v>
      </c>
      <c r="N147" s="485"/>
      <c r="O147" s="476">
        <f t="shared" si="62"/>
        <v>0</v>
      </c>
      <c r="P147" s="476">
        <f t="shared" si="63"/>
        <v>0</v>
      </c>
    </row>
    <row r="148" spans="2:16">
      <c r="B148" s="160" t="str">
        <f t="shared" si="37"/>
        <v/>
      </c>
      <c r="C148" s="470">
        <f>IF(D93="","-",+C147+1)</f>
        <v>2056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58"/>
        <v>0</v>
      </c>
      <c r="G148" s="483">
        <f t="shared" si="59"/>
        <v>0</v>
      </c>
      <c r="H148" s="486">
        <f t="shared" si="56"/>
        <v>0</v>
      </c>
      <c r="I148" s="540">
        <f t="shared" si="57"/>
        <v>0</v>
      </c>
      <c r="J148" s="476">
        <f t="shared" si="60"/>
        <v>0</v>
      </c>
      <c r="K148" s="476"/>
      <c r="L148" s="485"/>
      <c r="M148" s="476">
        <f t="shared" si="61"/>
        <v>0</v>
      </c>
      <c r="N148" s="485"/>
      <c r="O148" s="476">
        <f t="shared" si="62"/>
        <v>0</v>
      </c>
      <c r="P148" s="476">
        <f t="shared" si="63"/>
        <v>0</v>
      </c>
    </row>
    <row r="149" spans="2:16">
      <c r="B149" s="160" t="str">
        <f t="shared" si="37"/>
        <v/>
      </c>
      <c r="C149" s="470">
        <f>IF(D93="","-",+C148+1)</f>
        <v>2057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58"/>
        <v>0</v>
      </c>
      <c r="G149" s="483">
        <f t="shared" si="59"/>
        <v>0</v>
      </c>
      <c r="H149" s="486">
        <f t="shared" si="56"/>
        <v>0</v>
      </c>
      <c r="I149" s="540">
        <f t="shared" si="57"/>
        <v>0</v>
      </c>
      <c r="J149" s="476">
        <f t="shared" si="60"/>
        <v>0</v>
      </c>
      <c r="K149" s="476"/>
      <c r="L149" s="485"/>
      <c r="M149" s="476">
        <f t="shared" si="61"/>
        <v>0</v>
      </c>
      <c r="N149" s="485"/>
      <c r="O149" s="476">
        <f t="shared" si="62"/>
        <v>0</v>
      </c>
      <c r="P149" s="476">
        <f t="shared" si="63"/>
        <v>0</v>
      </c>
    </row>
    <row r="150" spans="2:16">
      <c r="B150" s="160" t="str">
        <f t="shared" si="37"/>
        <v/>
      </c>
      <c r="C150" s="470">
        <f>IF(D93="","-",+C149+1)</f>
        <v>2058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58"/>
        <v>0</v>
      </c>
      <c r="G150" s="483">
        <f t="shared" si="59"/>
        <v>0</v>
      </c>
      <c r="H150" s="486">
        <f t="shared" si="56"/>
        <v>0</v>
      </c>
      <c r="I150" s="540">
        <f t="shared" si="57"/>
        <v>0</v>
      </c>
      <c r="J150" s="476">
        <f t="shared" si="60"/>
        <v>0</v>
      </c>
      <c r="K150" s="476"/>
      <c r="L150" s="485"/>
      <c r="M150" s="476">
        <f t="shared" si="61"/>
        <v>0</v>
      </c>
      <c r="N150" s="485"/>
      <c r="O150" s="476">
        <f t="shared" si="62"/>
        <v>0</v>
      </c>
      <c r="P150" s="476">
        <f t="shared" si="63"/>
        <v>0</v>
      </c>
    </row>
    <row r="151" spans="2:16">
      <c r="B151" s="160" t="str">
        <f t="shared" si="37"/>
        <v/>
      </c>
      <c r="C151" s="470">
        <f>IF(D93="","-",+C150+1)</f>
        <v>2059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58"/>
        <v>0</v>
      </c>
      <c r="G151" s="483">
        <f t="shared" si="59"/>
        <v>0</v>
      </c>
      <c r="H151" s="486">
        <f t="shared" si="56"/>
        <v>0</v>
      </c>
      <c r="I151" s="540">
        <f t="shared" si="57"/>
        <v>0</v>
      </c>
      <c r="J151" s="476">
        <f t="shared" si="60"/>
        <v>0</v>
      </c>
      <c r="K151" s="476"/>
      <c r="L151" s="485"/>
      <c r="M151" s="476">
        <f t="shared" si="61"/>
        <v>0</v>
      </c>
      <c r="N151" s="485"/>
      <c r="O151" s="476">
        <f t="shared" si="62"/>
        <v>0</v>
      </c>
      <c r="P151" s="476">
        <f t="shared" si="63"/>
        <v>0</v>
      </c>
    </row>
    <row r="152" spans="2:16">
      <c r="B152" s="160" t="str">
        <f t="shared" si="37"/>
        <v/>
      </c>
      <c r="C152" s="470">
        <f>IF(D93="","-",+C151+1)</f>
        <v>2060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58"/>
        <v>0</v>
      </c>
      <c r="G152" s="483">
        <f t="shared" si="59"/>
        <v>0</v>
      </c>
      <c r="H152" s="486">
        <f t="shared" si="56"/>
        <v>0</v>
      </c>
      <c r="I152" s="540">
        <f t="shared" si="57"/>
        <v>0</v>
      </c>
      <c r="J152" s="476">
        <f t="shared" si="60"/>
        <v>0</v>
      </c>
      <c r="K152" s="476"/>
      <c r="L152" s="485"/>
      <c r="M152" s="476">
        <f t="shared" si="61"/>
        <v>0</v>
      </c>
      <c r="N152" s="485"/>
      <c r="O152" s="476">
        <f t="shared" si="62"/>
        <v>0</v>
      </c>
      <c r="P152" s="476">
        <f t="shared" si="63"/>
        <v>0</v>
      </c>
    </row>
    <row r="153" spans="2:16">
      <c r="B153" s="160" t="str">
        <f t="shared" si="37"/>
        <v/>
      </c>
      <c r="C153" s="470">
        <f>IF(D93="","-",+C152+1)</f>
        <v>2061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58"/>
        <v>0</v>
      </c>
      <c r="G153" s="483">
        <f t="shared" si="59"/>
        <v>0</v>
      </c>
      <c r="H153" s="486">
        <f t="shared" si="56"/>
        <v>0</v>
      </c>
      <c r="I153" s="540">
        <f t="shared" si="57"/>
        <v>0</v>
      </c>
      <c r="J153" s="476">
        <f t="shared" si="60"/>
        <v>0</v>
      </c>
      <c r="K153" s="476"/>
      <c r="L153" s="485"/>
      <c r="M153" s="476">
        <f t="shared" si="61"/>
        <v>0</v>
      </c>
      <c r="N153" s="485"/>
      <c r="O153" s="476">
        <f t="shared" si="62"/>
        <v>0</v>
      </c>
      <c r="P153" s="476">
        <f t="shared" si="63"/>
        <v>0</v>
      </c>
    </row>
    <row r="154" spans="2:16" ht="13.5" thickBot="1">
      <c r="B154" s="160" t="str">
        <f t="shared" si="37"/>
        <v/>
      </c>
      <c r="C154" s="487">
        <f>IF(D93="","-",+C153+1)</f>
        <v>2062</v>
      </c>
      <c r="D154" s="541">
        <f>IF(F153+SUM(E$99:E153)=D$92,F153,D$92-SUM(E$99:E153))</f>
        <v>0</v>
      </c>
      <c r="E154" s="542">
        <f>IF(+J96&lt;F153,J96,D154)</f>
        <v>0</v>
      </c>
      <c r="F154" s="488">
        <f>+D154-E154</f>
        <v>0</v>
      </c>
      <c r="G154" s="488">
        <f>+(F154+D154)/2</f>
        <v>0</v>
      </c>
      <c r="H154" s="490">
        <f t="shared" si="56"/>
        <v>0</v>
      </c>
      <c r="I154" s="543">
        <f t="shared" si="57"/>
        <v>0</v>
      </c>
      <c r="J154" s="493">
        <f t="shared" si="60"/>
        <v>0</v>
      </c>
      <c r="K154" s="476"/>
      <c r="L154" s="492"/>
      <c r="M154" s="493">
        <f t="shared" si="61"/>
        <v>0</v>
      </c>
      <c r="N154" s="492"/>
      <c r="O154" s="493">
        <f t="shared" si="62"/>
        <v>0</v>
      </c>
      <c r="P154" s="493">
        <f t="shared" si="63"/>
        <v>0</v>
      </c>
    </row>
    <row r="155" spans="2:16">
      <c r="C155" s="345" t="s">
        <v>77</v>
      </c>
      <c r="D155" s="346"/>
      <c r="E155" s="346">
        <f>SUM(E99:E154)</f>
        <v>84424</v>
      </c>
      <c r="F155" s="346"/>
      <c r="G155" s="346"/>
      <c r="H155" s="346">
        <f>SUM(H99:H154)</f>
        <v>319890.87111601746</v>
      </c>
      <c r="I155" s="346">
        <f>SUM(I99:I154)</f>
        <v>319890.87111601746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148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58" priority="1" stopIfTrue="1" operator="equal">
      <formula>$I$10</formula>
    </cfRule>
  </conditionalFormatting>
  <conditionalFormatting sqref="C99:C154">
    <cfRule type="cellIs" dxfId="57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6">
    <tabColor rgb="FFC00000"/>
  </sheetPr>
  <dimension ref="A1:P162"/>
  <sheetViews>
    <sheetView topLeftCell="A90" zoomScaleNormal="100" zoomScaleSheetLayoutView="75" workbookViewId="0">
      <selection activeCell="V52" sqref="V5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"&amp;RIGHT(MID(CELL("filename",$A$1),FIND("]",CELL("filename",$A$1))+1,256),1)&amp;" of "&amp;COUNT('P.001:P.xyz - blank'!$P$3)-1</f>
        <v>PSO Project 8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5356.7091396474525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5356.7091396474525</v>
      </c>
      <c r="O6" s="231"/>
      <c r="P6" s="231"/>
    </row>
    <row r="7" spans="1:16" ht="13.5" thickBot="1">
      <c r="C7" s="429" t="s">
        <v>46</v>
      </c>
      <c r="D7" s="430" t="s">
        <v>215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>DOES NOT MEET SPP $100,000 MINIMUM INVESTMENT FOR REGIONAL BPU SHARING.</v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A9" s="155"/>
      <c r="C9" s="438" t="s">
        <v>48</v>
      </c>
      <c r="D9" s="439" t="s">
        <v>87</v>
      </c>
      <c r="E9" s="575" t="s">
        <v>347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56133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2006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3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1477.1842105263158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2006</v>
      </c>
      <c r="D17" s="471">
        <v>56133</v>
      </c>
      <c r="E17" s="472">
        <v>752</v>
      </c>
      <c r="F17" s="471">
        <v>55381</v>
      </c>
      <c r="G17" s="472">
        <v>0</v>
      </c>
      <c r="H17" s="479">
        <v>0</v>
      </c>
      <c r="I17" s="473">
        <f t="shared" ref="I17:I48" si="0">H17-G17</f>
        <v>0</v>
      </c>
      <c r="J17" s="473"/>
      <c r="K17" s="552">
        <v>0</v>
      </c>
      <c r="L17" s="475">
        <f t="shared" ref="L17:L48" si="1">IF(K17&lt;&gt;0,+G17-K17,0)</f>
        <v>0</v>
      </c>
      <c r="M17" s="552">
        <v>0</v>
      </c>
      <c r="N17" s="475">
        <f t="shared" ref="N17:N48" si="2">IF(M17&lt;&gt;0,+H17-M17,0)</f>
        <v>0</v>
      </c>
      <c r="O17" s="476">
        <f t="shared" ref="O17:O48" si="3">+N17-L17</f>
        <v>0</v>
      </c>
      <c r="P17" s="241"/>
    </row>
    <row r="18" spans="2:16">
      <c r="B18" s="160" t="str">
        <f>IF(D18=F17,"","IU")</f>
        <v/>
      </c>
      <c r="C18" s="470">
        <f>IF(D11="","-",+C17+1)</f>
        <v>2007</v>
      </c>
      <c r="D18" s="477">
        <v>55381</v>
      </c>
      <c r="E18" s="478">
        <v>1002</v>
      </c>
      <c r="F18" s="477">
        <v>54379</v>
      </c>
      <c r="G18" s="478">
        <v>0</v>
      </c>
      <c r="H18" s="479">
        <v>0</v>
      </c>
      <c r="I18" s="473">
        <f t="shared" si="0"/>
        <v>0</v>
      </c>
      <c r="J18" s="473"/>
      <c r="K18" s="474">
        <v>0</v>
      </c>
      <c r="L18" s="476">
        <f t="shared" si="1"/>
        <v>0</v>
      </c>
      <c r="M18" s="474">
        <v>0</v>
      </c>
      <c r="N18" s="476">
        <f t="shared" si="2"/>
        <v>0</v>
      </c>
      <c r="O18" s="476">
        <f t="shared" si="3"/>
        <v>0</v>
      </c>
      <c r="P18" s="241"/>
    </row>
    <row r="19" spans="2:16">
      <c r="B19" s="160" t="str">
        <f>IF(D19=F18,"","IU")</f>
        <v/>
      </c>
      <c r="C19" s="470">
        <f>IF(D11="","-",+C18+1)</f>
        <v>2008</v>
      </c>
      <c r="D19" s="477">
        <v>54379</v>
      </c>
      <c r="E19" s="478">
        <v>1002</v>
      </c>
      <c r="F19" s="477">
        <v>53377</v>
      </c>
      <c r="G19" s="478">
        <v>0</v>
      </c>
      <c r="H19" s="479">
        <v>0</v>
      </c>
      <c r="I19" s="473">
        <f t="shared" si="0"/>
        <v>0</v>
      </c>
      <c r="J19" s="473"/>
      <c r="K19" s="474">
        <v>0</v>
      </c>
      <c r="L19" s="476">
        <f t="shared" si="1"/>
        <v>0</v>
      </c>
      <c r="M19" s="474">
        <v>0</v>
      </c>
      <c r="N19" s="476">
        <f t="shared" si="2"/>
        <v>0</v>
      </c>
      <c r="O19" s="476">
        <f t="shared" si="3"/>
        <v>0</v>
      </c>
      <c r="P19" s="241"/>
    </row>
    <row r="20" spans="2:16">
      <c r="B20" s="160" t="str">
        <f t="shared" ref="B20:B72" si="4">IF(D20=F19,"","IU")</f>
        <v/>
      </c>
      <c r="C20" s="470">
        <f>IF(D11="","-",+C19+1)</f>
        <v>2009</v>
      </c>
      <c r="D20" s="477">
        <v>53377</v>
      </c>
      <c r="E20" s="478">
        <v>1002</v>
      </c>
      <c r="F20" s="477">
        <v>52375</v>
      </c>
      <c r="G20" s="478">
        <v>0</v>
      </c>
      <c r="H20" s="479">
        <v>0</v>
      </c>
      <c r="I20" s="473">
        <f t="shared" si="0"/>
        <v>0</v>
      </c>
      <c r="J20" s="473"/>
      <c r="K20" s="474">
        <v>0</v>
      </c>
      <c r="L20" s="476">
        <f t="shared" si="1"/>
        <v>0</v>
      </c>
      <c r="M20" s="474">
        <v>0</v>
      </c>
      <c r="N20" s="476">
        <f t="shared" si="2"/>
        <v>0</v>
      </c>
      <c r="O20" s="476">
        <f t="shared" si="3"/>
        <v>0</v>
      </c>
      <c r="P20" s="241"/>
    </row>
    <row r="21" spans="2:16">
      <c r="B21" s="160" t="str">
        <f t="shared" si="4"/>
        <v/>
      </c>
      <c r="C21" s="470">
        <f>IF(D11="","-",+C20+1)</f>
        <v>2010</v>
      </c>
      <c r="D21" s="477">
        <v>52375</v>
      </c>
      <c r="E21" s="478">
        <v>1002.375</v>
      </c>
      <c r="F21" s="477">
        <v>51372.625</v>
      </c>
      <c r="G21" s="478">
        <v>8415.2657154769768</v>
      </c>
      <c r="H21" s="479">
        <v>8415.2657154769768</v>
      </c>
      <c r="I21" s="473">
        <f t="shared" si="0"/>
        <v>0</v>
      </c>
      <c r="J21" s="473"/>
      <c r="K21" s="474">
        <f t="shared" ref="K21:K26" si="5">G21</f>
        <v>8415.2657154769768</v>
      </c>
      <c r="L21" s="548">
        <f t="shared" si="1"/>
        <v>0</v>
      </c>
      <c r="M21" s="474">
        <f t="shared" ref="M21:M26" si="6">H21</f>
        <v>8415.2657154769768</v>
      </c>
      <c r="N21" s="476">
        <f t="shared" si="2"/>
        <v>0</v>
      </c>
      <c r="O21" s="476">
        <f t="shared" si="3"/>
        <v>0</v>
      </c>
      <c r="P21" s="241"/>
    </row>
    <row r="22" spans="2:16">
      <c r="B22" s="160" t="str">
        <f t="shared" si="4"/>
        <v/>
      </c>
      <c r="C22" s="470">
        <f>IF(D11="","-",+C21+1)</f>
        <v>2011</v>
      </c>
      <c r="D22" s="477">
        <v>51372.625</v>
      </c>
      <c r="E22" s="478">
        <v>1100.6470588235295</v>
      </c>
      <c r="F22" s="477">
        <v>50271.977941176468</v>
      </c>
      <c r="G22" s="478">
        <v>8970.3904929935452</v>
      </c>
      <c r="H22" s="479">
        <v>8970.3904929935452</v>
      </c>
      <c r="I22" s="473">
        <f t="shared" si="0"/>
        <v>0</v>
      </c>
      <c r="J22" s="473"/>
      <c r="K22" s="474">
        <f t="shared" si="5"/>
        <v>8970.3904929935452</v>
      </c>
      <c r="L22" s="548">
        <f t="shared" si="1"/>
        <v>0</v>
      </c>
      <c r="M22" s="474">
        <f t="shared" si="6"/>
        <v>8970.3904929935452</v>
      </c>
      <c r="N22" s="476">
        <f t="shared" si="2"/>
        <v>0</v>
      </c>
      <c r="O22" s="476">
        <f t="shared" si="3"/>
        <v>0</v>
      </c>
      <c r="P22" s="241"/>
    </row>
    <row r="23" spans="2:16">
      <c r="B23" s="160" t="str">
        <f t="shared" si="4"/>
        <v/>
      </c>
      <c r="C23" s="470">
        <f>IF(D11="","-",+C22+1)</f>
        <v>2012</v>
      </c>
      <c r="D23" s="477">
        <v>50271.977941176468</v>
      </c>
      <c r="E23" s="478">
        <v>1079.4807692307693</v>
      </c>
      <c r="F23" s="477">
        <v>49192.497171945703</v>
      </c>
      <c r="G23" s="478">
        <v>7927.4076335998161</v>
      </c>
      <c r="H23" s="479">
        <v>7927.4076335998161</v>
      </c>
      <c r="I23" s="473">
        <f t="shared" si="0"/>
        <v>0</v>
      </c>
      <c r="J23" s="473"/>
      <c r="K23" s="474">
        <f t="shared" si="5"/>
        <v>7927.4076335998161</v>
      </c>
      <c r="L23" s="548">
        <f t="shared" si="1"/>
        <v>0</v>
      </c>
      <c r="M23" s="474">
        <f t="shared" si="6"/>
        <v>7927.4076335998161</v>
      </c>
      <c r="N23" s="476">
        <f t="shared" si="2"/>
        <v>0</v>
      </c>
      <c r="O23" s="476">
        <f t="shared" si="3"/>
        <v>0</v>
      </c>
      <c r="P23" s="241"/>
    </row>
    <row r="24" spans="2:16">
      <c r="B24" s="160" t="str">
        <f t="shared" si="4"/>
        <v/>
      </c>
      <c r="C24" s="470">
        <f>IF(D11="","-",+C23+1)</f>
        <v>2013</v>
      </c>
      <c r="D24" s="477">
        <v>49192.497171945703</v>
      </c>
      <c r="E24" s="478">
        <v>1079.4807692307693</v>
      </c>
      <c r="F24" s="477">
        <v>48113.016402714937</v>
      </c>
      <c r="G24" s="478">
        <v>7950.3447729090094</v>
      </c>
      <c r="H24" s="479">
        <v>7950.3447729090094</v>
      </c>
      <c r="I24" s="473">
        <v>0</v>
      </c>
      <c r="J24" s="473"/>
      <c r="K24" s="474">
        <f t="shared" si="5"/>
        <v>7950.3447729090094</v>
      </c>
      <c r="L24" s="548">
        <f t="shared" ref="L24:L29" si="7">IF(K24&lt;&gt;0,+G24-K24,0)</f>
        <v>0</v>
      </c>
      <c r="M24" s="474">
        <f t="shared" si="6"/>
        <v>7950.3447729090094</v>
      </c>
      <c r="N24" s="476">
        <f t="shared" ref="N24:N29" si="8">IF(M24&lt;&gt;0,+H24-M24,0)</f>
        <v>0</v>
      </c>
      <c r="O24" s="476">
        <f t="shared" ref="O24:O29" si="9">+N24-L24</f>
        <v>0</v>
      </c>
      <c r="P24" s="241"/>
    </row>
    <row r="25" spans="2:16">
      <c r="B25" s="160" t="str">
        <f t="shared" si="4"/>
        <v/>
      </c>
      <c r="C25" s="470">
        <f>IF(D11="","-",+C24+1)</f>
        <v>2014</v>
      </c>
      <c r="D25" s="477">
        <v>48113.016402714937</v>
      </c>
      <c r="E25" s="478">
        <v>1079.4807692307693</v>
      </c>
      <c r="F25" s="477">
        <v>47033.535633484171</v>
      </c>
      <c r="G25" s="478">
        <v>7554.0593246775043</v>
      </c>
      <c r="H25" s="479">
        <v>7554.0593246775043</v>
      </c>
      <c r="I25" s="473">
        <v>0</v>
      </c>
      <c r="J25" s="473"/>
      <c r="K25" s="474">
        <f t="shared" si="5"/>
        <v>7554.0593246775043</v>
      </c>
      <c r="L25" s="548">
        <f t="shared" si="7"/>
        <v>0</v>
      </c>
      <c r="M25" s="474">
        <f t="shared" si="6"/>
        <v>7554.0593246775043</v>
      </c>
      <c r="N25" s="476">
        <f t="shared" si="8"/>
        <v>0</v>
      </c>
      <c r="O25" s="476">
        <f t="shared" si="9"/>
        <v>0</v>
      </c>
      <c r="P25" s="241"/>
    </row>
    <row r="26" spans="2:16">
      <c r="B26" s="160" t="str">
        <f t="shared" si="4"/>
        <v/>
      </c>
      <c r="C26" s="470">
        <f>IF(D11="","-",+C25+1)</f>
        <v>2015</v>
      </c>
      <c r="D26" s="477">
        <v>47033.535633484171</v>
      </c>
      <c r="E26" s="478">
        <v>1079.4807692307693</v>
      </c>
      <c r="F26" s="477">
        <v>45954.054864253405</v>
      </c>
      <c r="G26" s="478">
        <v>7415.24244849963</v>
      </c>
      <c r="H26" s="479">
        <v>7415.24244849963</v>
      </c>
      <c r="I26" s="473">
        <v>0</v>
      </c>
      <c r="J26" s="473"/>
      <c r="K26" s="474">
        <f t="shared" si="5"/>
        <v>7415.24244849963</v>
      </c>
      <c r="L26" s="548">
        <f t="shared" si="7"/>
        <v>0</v>
      </c>
      <c r="M26" s="474">
        <f t="shared" si="6"/>
        <v>7415.24244849963</v>
      </c>
      <c r="N26" s="476">
        <f t="shared" si="8"/>
        <v>0</v>
      </c>
      <c r="O26" s="476">
        <f t="shared" si="9"/>
        <v>0</v>
      </c>
      <c r="P26" s="241"/>
    </row>
    <row r="27" spans="2:16">
      <c r="B27" s="160" t="str">
        <f t="shared" si="4"/>
        <v/>
      </c>
      <c r="C27" s="470">
        <f>IF(D11="","-",+C26+1)</f>
        <v>2016</v>
      </c>
      <c r="D27" s="477">
        <v>45954.054864253405</v>
      </c>
      <c r="E27" s="478">
        <v>1079.4807692307693</v>
      </c>
      <c r="F27" s="477">
        <v>44874.574095022639</v>
      </c>
      <c r="G27" s="478">
        <v>6965.2134846377958</v>
      </c>
      <c r="H27" s="479">
        <v>6965.2134846377958</v>
      </c>
      <c r="I27" s="473">
        <f t="shared" si="0"/>
        <v>0</v>
      </c>
      <c r="J27" s="473"/>
      <c r="K27" s="474">
        <f t="shared" ref="K27:K32" si="10">G27</f>
        <v>6965.2134846377958</v>
      </c>
      <c r="L27" s="548">
        <f t="shared" si="7"/>
        <v>0</v>
      </c>
      <c r="M27" s="474">
        <f t="shared" ref="M27:M32" si="11">H27</f>
        <v>6965.2134846377958</v>
      </c>
      <c r="N27" s="476">
        <f t="shared" si="8"/>
        <v>0</v>
      </c>
      <c r="O27" s="476">
        <f t="shared" si="9"/>
        <v>0</v>
      </c>
      <c r="P27" s="241"/>
    </row>
    <row r="28" spans="2:16">
      <c r="B28" s="160" t="str">
        <f t="shared" si="4"/>
        <v/>
      </c>
      <c r="C28" s="470">
        <f>IF(D11="","-",+C27+1)</f>
        <v>2017</v>
      </c>
      <c r="D28" s="477">
        <v>44874.574095022639</v>
      </c>
      <c r="E28" s="478">
        <v>1220.2826086956522</v>
      </c>
      <c r="F28" s="477">
        <v>43654.291486326983</v>
      </c>
      <c r="G28" s="478">
        <v>6775.7563240948048</v>
      </c>
      <c r="H28" s="479">
        <v>6775.7563240948048</v>
      </c>
      <c r="I28" s="473">
        <f t="shared" si="0"/>
        <v>0</v>
      </c>
      <c r="J28" s="473"/>
      <c r="K28" s="474">
        <f t="shared" si="10"/>
        <v>6775.7563240948048</v>
      </c>
      <c r="L28" s="548">
        <f t="shared" si="7"/>
        <v>0</v>
      </c>
      <c r="M28" s="474">
        <f t="shared" si="11"/>
        <v>6775.7563240948048</v>
      </c>
      <c r="N28" s="476">
        <f t="shared" si="8"/>
        <v>0</v>
      </c>
      <c r="O28" s="476">
        <f t="shared" si="9"/>
        <v>0</v>
      </c>
      <c r="P28" s="241"/>
    </row>
    <row r="29" spans="2:16">
      <c r="B29" s="160" t="str">
        <f t="shared" si="4"/>
        <v/>
      </c>
      <c r="C29" s="470">
        <f>IF(D11="","-",+C28+1)</f>
        <v>2018</v>
      </c>
      <c r="D29" s="477">
        <v>43654.291486326983</v>
      </c>
      <c r="E29" s="478">
        <v>1247.4000000000001</v>
      </c>
      <c r="F29" s="477">
        <v>42406.891486326982</v>
      </c>
      <c r="G29" s="478">
        <v>6400.6980544313355</v>
      </c>
      <c r="H29" s="479">
        <v>6400.6980544313355</v>
      </c>
      <c r="I29" s="473">
        <f t="shared" si="0"/>
        <v>0</v>
      </c>
      <c r="J29" s="473"/>
      <c r="K29" s="474">
        <f t="shared" si="10"/>
        <v>6400.6980544313355</v>
      </c>
      <c r="L29" s="548">
        <f t="shared" si="7"/>
        <v>0</v>
      </c>
      <c r="M29" s="474">
        <f t="shared" si="11"/>
        <v>6400.6980544313355</v>
      </c>
      <c r="N29" s="476">
        <f t="shared" si="8"/>
        <v>0</v>
      </c>
      <c r="O29" s="476">
        <f t="shared" si="9"/>
        <v>0</v>
      </c>
      <c r="P29" s="241"/>
    </row>
    <row r="30" spans="2:16">
      <c r="B30" s="160" t="str">
        <f t="shared" si="4"/>
        <v/>
      </c>
      <c r="C30" s="470">
        <f>IF(D11="","-",+C29+1)</f>
        <v>2019</v>
      </c>
      <c r="D30" s="477">
        <v>42406.891486326982</v>
      </c>
      <c r="E30" s="478">
        <v>1403.325</v>
      </c>
      <c r="F30" s="477">
        <v>41003.566486326985</v>
      </c>
      <c r="G30" s="478">
        <v>6059.9903761062678</v>
      </c>
      <c r="H30" s="479">
        <v>6059.9903761062678</v>
      </c>
      <c r="I30" s="473">
        <f t="shared" si="0"/>
        <v>0</v>
      </c>
      <c r="J30" s="473"/>
      <c r="K30" s="474">
        <f t="shared" si="10"/>
        <v>6059.9903761062678</v>
      </c>
      <c r="L30" s="548">
        <f t="shared" ref="L30" si="12">IF(K30&lt;&gt;0,+G30-K30,0)</f>
        <v>0</v>
      </c>
      <c r="M30" s="474">
        <f t="shared" si="11"/>
        <v>6059.9903761062678</v>
      </c>
      <c r="N30" s="476">
        <f t="shared" ref="N30" si="13">IF(M30&lt;&gt;0,+H30-M30,0)</f>
        <v>0</v>
      </c>
      <c r="O30" s="476">
        <f t="shared" ref="O30" si="14">+N30-L30</f>
        <v>0</v>
      </c>
      <c r="P30" s="241"/>
    </row>
    <row r="31" spans="2:16">
      <c r="B31" s="160" t="str">
        <f t="shared" si="4"/>
        <v>IU</v>
      </c>
      <c r="C31" s="470">
        <f>IF(D11="","-",+C30+1)</f>
        <v>2020</v>
      </c>
      <c r="D31" s="477">
        <v>41159.491486326981</v>
      </c>
      <c r="E31" s="478">
        <v>1336.5</v>
      </c>
      <c r="F31" s="477">
        <v>39822.991486326981</v>
      </c>
      <c r="G31" s="478">
        <v>5709.7475035377865</v>
      </c>
      <c r="H31" s="479">
        <v>5709.7475035377865</v>
      </c>
      <c r="I31" s="473">
        <f t="shared" si="0"/>
        <v>0</v>
      </c>
      <c r="J31" s="473"/>
      <c r="K31" s="474">
        <f t="shared" si="10"/>
        <v>5709.7475035377865</v>
      </c>
      <c r="L31" s="548">
        <f t="shared" ref="L31" si="15">IF(K31&lt;&gt;0,+G31-K31,0)</f>
        <v>0</v>
      </c>
      <c r="M31" s="474">
        <f t="shared" si="11"/>
        <v>5709.7475035377865</v>
      </c>
      <c r="N31" s="476">
        <f t="shared" si="2"/>
        <v>0</v>
      </c>
      <c r="O31" s="476">
        <f t="shared" si="3"/>
        <v>0</v>
      </c>
      <c r="P31" s="241"/>
    </row>
    <row r="32" spans="2:16">
      <c r="B32" s="160" t="str">
        <f t="shared" si="4"/>
        <v>IU</v>
      </c>
      <c r="C32" s="470">
        <f>IF(D11="","-",+C31+1)</f>
        <v>2021</v>
      </c>
      <c r="D32" s="477">
        <v>39667.06648632697</v>
      </c>
      <c r="E32" s="478">
        <v>1305.4186046511627</v>
      </c>
      <c r="F32" s="477">
        <v>38361.64788167581</v>
      </c>
      <c r="G32" s="478">
        <v>5441.6348487910545</v>
      </c>
      <c r="H32" s="479">
        <v>5441.6348487910545</v>
      </c>
      <c r="I32" s="473">
        <f t="shared" si="0"/>
        <v>0</v>
      </c>
      <c r="J32" s="473"/>
      <c r="K32" s="474">
        <f t="shared" si="10"/>
        <v>5441.6348487910545</v>
      </c>
      <c r="L32" s="548">
        <f t="shared" ref="L32" si="16">IF(K32&lt;&gt;0,+G32-K32,0)</f>
        <v>0</v>
      </c>
      <c r="M32" s="474">
        <f t="shared" si="11"/>
        <v>5441.6348487910545</v>
      </c>
      <c r="N32" s="476">
        <f t="shared" si="2"/>
        <v>0</v>
      </c>
      <c r="O32" s="476">
        <f t="shared" si="3"/>
        <v>0</v>
      </c>
      <c r="P32" s="241"/>
    </row>
    <row r="33" spans="2:16">
      <c r="B33" s="160" t="str">
        <f t="shared" si="4"/>
        <v/>
      </c>
      <c r="C33" s="470">
        <f>IF(D11="","-",+C32+1)</f>
        <v>2022</v>
      </c>
      <c r="D33" s="477">
        <v>38361.64788167581</v>
      </c>
      <c r="E33" s="478">
        <v>1336.5</v>
      </c>
      <c r="F33" s="477">
        <v>37025.14788167581</v>
      </c>
      <c r="G33" s="478">
        <v>5328.2273193212004</v>
      </c>
      <c r="H33" s="479">
        <v>5328.2273193212004</v>
      </c>
      <c r="I33" s="473">
        <f t="shared" si="0"/>
        <v>0</v>
      </c>
      <c r="J33" s="473"/>
      <c r="K33" s="474">
        <f t="shared" ref="K33" si="17">G33</f>
        <v>5328.2273193212004</v>
      </c>
      <c r="L33" s="548">
        <f t="shared" ref="L33" si="18">IF(K33&lt;&gt;0,+G33-K33,0)</f>
        <v>0</v>
      </c>
      <c r="M33" s="474">
        <f t="shared" ref="M33" si="19">H33</f>
        <v>5328.2273193212004</v>
      </c>
      <c r="N33" s="476">
        <f t="shared" si="2"/>
        <v>0</v>
      </c>
      <c r="O33" s="476">
        <f t="shared" si="3"/>
        <v>0</v>
      </c>
      <c r="P33" s="241"/>
    </row>
    <row r="34" spans="2:16">
      <c r="B34" s="160" t="str">
        <f t="shared" si="4"/>
        <v/>
      </c>
      <c r="C34" s="470">
        <f>IF(D11="","-",+C33+1)</f>
        <v>2023</v>
      </c>
      <c r="D34" s="477">
        <v>37025.14788167581</v>
      </c>
      <c r="E34" s="478">
        <v>1439.3076923076924</v>
      </c>
      <c r="F34" s="477">
        <v>35585.840189368115</v>
      </c>
      <c r="G34" s="478">
        <v>5686.7962355511117</v>
      </c>
      <c r="H34" s="479">
        <v>5686.7962355511117</v>
      </c>
      <c r="I34" s="473">
        <f t="shared" si="0"/>
        <v>0</v>
      </c>
      <c r="J34" s="473"/>
      <c r="K34" s="474">
        <f t="shared" ref="K34" si="20">G34</f>
        <v>5686.7962355511117</v>
      </c>
      <c r="L34" s="548">
        <f t="shared" ref="L34" si="21">IF(K34&lt;&gt;0,+G34-K34,0)</f>
        <v>0</v>
      </c>
      <c r="M34" s="474">
        <f t="shared" ref="M34" si="22">H34</f>
        <v>5686.7962355511117</v>
      </c>
      <c r="N34" s="476">
        <f t="shared" ref="N34" si="23">IF(M34&lt;&gt;0,+H34-M34,0)</f>
        <v>0</v>
      </c>
      <c r="O34" s="476">
        <f t="shared" ref="O34" si="24">+N34-L34</f>
        <v>0</v>
      </c>
      <c r="P34" s="241"/>
    </row>
    <row r="35" spans="2:16">
      <c r="B35" s="160" t="str">
        <f t="shared" si="4"/>
        <v/>
      </c>
      <c r="C35" s="631">
        <f>IF(D11="","-",+C34+1)</f>
        <v>2024</v>
      </c>
      <c r="D35" s="483">
        <f>IF(F34+SUM(E$17:E34)=D$10,F34,D$10-SUM(E$17:E34))</f>
        <v>35585.840189368115</v>
      </c>
      <c r="E35" s="482">
        <f>IF(+I14&lt;F34,I14,D35)</f>
        <v>1477.1842105263158</v>
      </c>
      <c r="F35" s="483">
        <f t="shared" ref="F35:F48" si="25">+D35-E35</f>
        <v>34108.655978841802</v>
      </c>
      <c r="G35" s="484">
        <f t="shared" ref="G35:G72" si="26">+I$12*F35+E35</f>
        <v>5356.7091396474525</v>
      </c>
      <c r="H35" s="453">
        <f t="shared" ref="H35:H72" si="27">+I$13*F35+E35</f>
        <v>5356.7091396474525</v>
      </c>
      <c r="I35" s="473">
        <f t="shared" si="0"/>
        <v>0</v>
      </c>
      <c r="J35" s="473"/>
      <c r="K35" s="485"/>
      <c r="L35" s="476">
        <f t="shared" si="1"/>
        <v>0</v>
      </c>
      <c r="M35" s="485"/>
      <c r="N35" s="476">
        <f t="shared" si="2"/>
        <v>0</v>
      </c>
      <c r="O35" s="476">
        <f t="shared" si="3"/>
        <v>0</v>
      </c>
      <c r="P35" s="241"/>
    </row>
    <row r="36" spans="2:16">
      <c r="B36" s="160" t="str">
        <f t="shared" si="4"/>
        <v/>
      </c>
      <c r="C36" s="470">
        <f>IF(D11="","-",+C35+1)</f>
        <v>2025</v>
      </c>
      <c r="D36" s="483">
        <f>IF(F35+SUM(E$17:E35)=D$10,F35,D$10-SUM(E$17:E35))</f>
        <v>34108.655978841802</v>
      </c>
      <c r="E36" s="482">
        <f>IF(+I14&lt;F35,I14,D36)</f>
        <v>1477.1842105263158</v>
      </c>
      <c r="F36" s="483">
        <f t="shared" si="25"/>
        <v>32631.471768315485</v>
      </c>
      <c r="G36" s="484">
        <f t="shared" si="26"/>
        <v>5188.6939304525822</v>
      </c>
      <c r="H36" s="453">
        <f t="shared" si="27"/>
        <v>5188.6939304525822</v>
      </c>
      <c r="I36" s="473">
        <f t="shared" si="0"/>
        <v>0</v>
      </c>
      <c r="J36" s="473"/>
      <c r="K36" s="485"/>
      <c r="L36" s="476">
        <f t="shared" si="1"/>
        <v>0</v>
      </c>
      <c r="M36" s="485"/>
      <c r="N36" s="476">
        <f t="shared" si="2"/>
        <v>0</v>
      </c>
      <c r="O36" s="476">
        <f t="shared" si="3"/>
        <v>0</v>
      </c>
      <c r="P36" s="241"/>
    </row>
    <row r="37" spans="2:16">
      <c r="B37" s="160" t="str">
        <f t="shared" si="4"/>
        <v/>
      </c>
      <c r="C37" s="470">
        <f>IF(D11="","-",+C36+1)</f>
        <v>2026</v>
      </c>
      <c r="D37" s="483">
        <f>IF(F36+SUM(E$17:E36)=D$10,F36,D$10-SUM(E$17:E36))</f>
        <v>32631.471768315485</v>
      </c>
      <c r="E37" s="482">
        <f>IF(+I14&lt;F36,I14,D37)</f>
        <v>1477.1842105263158</v>
      </c>
      <c r="F37" s="483">
        <f t="shared" si="25"/>
        <v>31154.287557789168</v>
      </c>
      <c r="G37" s="484">
        <f t="shared" si="26"/>
        <v>5020.6787212577119</v>
      </c>
      <c r="H37" s="453">
        <f t="shared" si="27"/>
        <v>5020.6787212577119</v>
      </c>
      <c r="I37" s="473">
        <f t="shared" si="0"/>
        <v>0</v>
      </c>
      <c r="J37" s="473"/>
      <c r="K37" s="485"/>
      <c r="L37" s="476">
        <f t="shared" si="1"/>
        <v>0</v>
      </c>
      <c r="M37" s="485"/>
      <c r="N37" s="476">
        <f t="shared" si="2"/>
        <v>0</v>
      </c>
      <c r="O37" s="476">
        <f t="shared" si="3"/>
        <v>0</v>
      </c>
      <c r="P37" s="241"/>
    </row>
    <row r="38" spans="2:16">
      <c r="B38" s="563" t="str">
        <f t="shared" si="4"/>
        <v/>
      </c>
      <c r="C38" s="470">
        <f>IF(D11="","-",+C37+1)</f>
        <v>2027</v>
      </c>
      <c r="D38" s="483">
        <f>IF(F37+SUM(E$17:E37)=D$10,F37,D$10-SUM(E$17:E37))</f>
        <v>31154.287557789168</v>
      </c>
      <c r="E38" s="482">
        <f>IF(+I14&lt;F37,I14,D38)</f>
        <v>1477.1842105263158</v>
      </c>
      <c r="F38" s="483">
        <f t="shared" si="25"/>
        <v>29677.103347262851</v>
      </c>
      <c r="G38" s="484">
        <f t="shared" si="26"/>
        <v>4852.6635120628416</v>
      </c>
      <c r="H38" s="453">
        <f t="shared" si="27"/>
        <v>4852.6635120628416</v>
      </c>
      <c r="I38" s="473">
        <f t="shared" si="0"/>
        <v>0</v>
      </c>
      <c r="J38" s="473"/>
      <c r="K38" s="485"/>
      <c r="L38" s="476">
        <f t="shared" si="1"/>
        <v>0</v>
      </c>
      <c r="M38" s="485"/>
      <c r="N38" s="476">
        <f t="shared" si="2"/>
        <v>0</v>
      </c>
      <c r="O38" s="476">
        <f t="shared" si="3"/>
        <v>0</v>
      </c>
      <c r="P38" s="241"/>
    </row>
    <row r="39" spans="2:16">
      <c r="B39" s="160" t="str">
        <f t="shared" si="4"/>
        <v/>
      </c>
      <c r="C39" s="470">
        <f>IF(D11="","-",+C38+1)</f>
        <v>2028</v>
      </c>
      <c r="D39" s="483">
        <f>IF(F38+SUM(E$17:E38)=D$10,F38,D$10-SUM(E$17:E38))</f>
        <v>29677.103347262851</v>
      </c>
      <c r="E39" s="482">
        <f>IF(+I14&lt;F38,I14,D39)</f>
        <v>1477.1842105263158</v>
      </c>
      <c r="F39" s="483">
        <f t="shared" si="25"/>
        <v>28199.919136736535</v>
      </c>
      <c r="G39" s="484">
        <f t="shared" si="26"/>
        <v>4684.6483028679704</v>
      </c>
      <c r="H39" s="453">
        <f t="shared" si="27"/>
        <v>4684.6483028679704</v>
      </c>
      <c r="I39" s="473">
        <f t="shared" si="0"/>
        <v>0</v>
      </c>
      <c r="J39" s="473"/>
      <c r="K39" s="485"/>
      <c r="L39" s="476">
        <f t="shared" si="1"/>
        <v>0</v>
      </c>
      <c r="M39" s="485"/>
      <c r="N39" s="476">
        <f t="shared" si="2"/>
        <v>0</v>
      </c>
      <c r="O39" s="476">
        <f t="shared" si="3"/>
        <v>0</v>
      </c>
      <c r="P39" s="241"/>
    </row>
    <row r="40" spans="2:16">
      <c r="B40" s="160" t="str">
        <f t="shared" si="4"/>
        <v/>
      </c>
      <c r="C40" s="470">
        <f>IF(D11="","-",+C39+1)</f>
        <v>2029</v>
      </c>
      <c r="D40" s="483">
        <f>IF(F39+SUM(E$17:E39)=D$10,F39,D$10-SUM(E$17:E39))</f>
        <v>28199.919136736535</v>
      </c>
      <c r="E40" s="482">
        <f>IF(+I14&lt;F39,I14,D40)</f>
        <v>1477.1842105263158</v>
      </c>
      <c r="F40" s="483">
        <f t="shared" si="25"/>
        <v>26722.734926210218</v>
      </c>
      <c r="G40" s="484">
        <f t="shared" si="26"/>
        <v>4516.633093673101</v>
      </c>
      <c r="H40" s="453">
        <f t="shared" si="27"/>
        <v>4516.633093673101</v>
      </c>
      <c r="I40" s="473">
        <f t="shared" si="0"/>
        <v>0</v>
      </c>
      <c r="J40" s="473"/>
      <c r="K40" s="485"/>
      <c r="L40" s="476">
        <f t="shared" si="1"/>
        <v>0</v>
      </c>
      <c r="M40" s="485"/>
      <c r="N40" s="476">
        <f t="shared" si="2"/>
        <v>0</v>
      </c>
      <c r="O40" s="476">
        <f t="shared" si="3"/>
        <v>0</v>
      </c>
      <c r="P40" s="241"/>
    </row>
    <row r="41" spans="2:16">
      <c r="B41" s="160" t="str">
        <f t="shared" si="4"/>
        <v/>
      </c>
      <c r="C41" s="470">
        <f>IF(D11="","-",+C40+1)</f>
        <v>2030</v>
      </c>
      <c r="D41" s="483">
        <f>IF(F40+SUM(E$17:E40)=D$10,F40,D$10-SUM(E$17:E40))</f>
        <v>26722.734926210218</v>
      </c>
      <c r="E41" s="482">
        <f>IF(+I14&lt;F40,I14,D41)</f>
        <v>1477.1842105263158</v>
      </c>
      <c r="F41" s="483">
        <f t="shared" si="25"/>
        <v>25245.550715683901</v>
      </c>
      <c r="G41" s="484">
        <f t="shared" si="26"/>
        <v>4348.6178844782298</v>
      </c>
      <c r="H41" s="453">
        <f t="shared" si="27"/>
        <v>4348.6178844782298</v>
      </c>
      <c r="I41" s="473">
        <f t="shared" si="0"/>
        <v>0</v>
      </c>
      <c r="J41" s="473"/>
      <c r="K41" s="485"/>
      <c r="L41" s="476">
        <f t="shared" si="1"/>
        <v>0</v>
      </c>
      <c r="M41" s="485"/>
      <c r="N41" s="476">
        <f t="shared" si="2"/>
        <v>0</v>
      </c>
      <c r="O41" s="476">
        <f t="shared" si="3"/>
        <v>0</v>
      </c>
      <c r="P41" s="241"/>
    </row>
    <row r="42" spans="2:16">
      <c r="B42" s="160" t="str">
        <f t="shared" si="4"/>
        <v/>
      </c>
      <c r="C42" s="470">
        <f>IF(D11="","-",+C41+1)</f>
        <v>2031</v>
      </c>
      <c r="D42" s="483">
        <f>IF(F41+SUM(E$17:E41)=D$10,F41,D$10-SUM(E$17:E41))</f>
        <v>25245.550715683901</v>
      </c>
      <c r="E42" s="482">
        <f>IF(+I14&lt;F41,I14,D42)</f>
        <v>1477.1842105263158</v>
      </c>
      <c r="F42" s="483">
        <f t="shared" si="25"/>
        <v>23768.366505157584</v>
      </c>
      <c r="G42" s="484">
        <f t="shared" si="26"/>
        <v>4180.6026752833604</v>
      </c>
      <c r="H42" s="453">
        <f t="shared" si="27"/>
        <v>4180.6026752833604</v>
      </c>
      <c r="I42" s="473">
        <f t="shared" si="0"/>
        <v>0</v>
      </c>
      <c r="J42" s="473"/>
      <c r="K42" s="485"/>
      <c r="L42" s="476">
        <f t="shared" si="1"/>
        <v>0</v>
      </c>
      <c r="M42" s="485"/>
      <c r="N42" s="476">
        <f t="shared" si="2"/>
        <v>0</v>
      </c>
      <c r="O42" s="476">
        <f t="shared" si="3"/>
        <v>0</v>
      </c>
      <c r="P42" s="241"/>
    </row>
    <row r="43" spans="2:16">
      <c r="B43" s="160" t="str">
        <f t="shared" si="4"/>
        <v/>
      </c>
      <c r="C43" s="470">
        <f>IF(D11="","-",+C42+1)</f>
        <v>2032</v>
      </c>
      <c r="D43" s="483">
        <f>IF(F42+SUM(E$17:E42)=D$10,F42,D$10-SUM(E$17:E42))</f>
        <v>23768.366505157584</v>
      </c>
      <c r="E43" s="482">
        <f>IF(+I14&lt;F42,I14,D43)</f>
        <v>1477.1842105263158</v>
      </c>
      <c r="F43" s="483">
        <f t="shared" si="25"/>
        <v>22291.182294631268</v>
      </c>
      <c r="G43" s="484">
        <f t="shared" si="26"/>
        <v>4012.5874660884897</v>
      </c>
      <c r="H43" s="453">
        <f t="shared" si="27"/>
        <v>4012.5874660884897</v>
      </c>
      <c r="I43" s="473">
        <f t="shared" si="0"/>
        <v>0</v>
      </c>
      <c r="J43" s="473"/>
      <c r="K43" s="485"/>
      <c r="L43" s="476">
        <f t="shared" si="1"/>
        <v>0</v>
      </c>
      <c r="M43" s="485"/>
      <c r="N43" s="476">
        <f t="shared" si="2"/>
        <v>0</v>
      </c>
      <c r="O43" s="476">
        <f t="shared" si="3"/>
        <v>0</v>
      </c>
      <c r="P43" s="241"/>
    </row>
    <row r="44" spans="2:16">
      <c r="B44" s="160" t="str">
        <f t="shared" si="4"/>
        <v/>
      </c>
      <c r="C44" s="470">
        <f>IF(D11="","-",+C43+1)</f>
        <v>2033</v>
      </c>
      <c r="D44" s="483">
        <f>IF(F43+SUM(E$17:E43)=D$10,F43,D$10-SUM(E$17:E43))</f>
        <v>22291.182294631268</v>
      </c>
      <c r="E44" s="482">
        <f>IF(+I14&lt;F43,I14,D44)</f>
        <v>1477.1842105263158</v>
      </c>
      <c r="F44" s="483">
        <f t="shared" si="25"/>
        <v>20813.998084104951</v>
      </c>
      <c r="G44" s="484">
        <f t="shared" si="26"/>
        <v>3844.5722568936194</v>
      </c>
      <c r="H44" s="453">
        <f t="shared" si="27"/>
        <v>3844.5722568936194</v>
      </c>
      <c r="I44" s="473">
        <f t="shared" si="0"/>
        <v>0</v>
      </c>
      <c r="J44" s="473"/>
      <c r="K44" s="485"/>
      <c r="L44" s="476">
        <f t="shared" si="1"/>
        <v>0</v>
      </c>
      <c r="M44" s="485"/>
      <c r="N44" s="476">
        <f t="shared" si="2"/>
        <v>0</v>
      </c>
      <c r="O44" s="476">
        <f t="shared" si="3"/>
        <v>0</v>
      </c>
      <c r="P44" s="241"/>
    </row>
    <row r="45" spans="2:16">
      <c r="B45" s="160" t="str">
        <f t="shared" si="4"/>
        <v/>
      </c>
      <c r="C45" s="470">
        <f>IF(D11="","-",+C44+1)</f>
        <v>2034</v>
      </c>
      <c r="D45" s="483">
        <f>IF(F44+SUM(E$17:E44)=D$10,F44,D$10-SUM(E$17:E44))</f>
        <v>20813.998084104951</v>
      </c>
      <c r="E45" s="482">
        <f>IF(+I14&lt;F44,I14,D45)</f>
        <v>1477.1842105263158</v>
      </c>
      <c r="F45" s="483">
        <f t="shared" si="25"/>
        <v>19336.813873578634</v>
      </c>
      <c r="G45" s="484">
        <f t="shared" si="26"/>
        <v>3676.5570476987486</v>
      </c>
      <c r="H45" s="453">
        <f t="shared" si="27"/>
        <v>3676.5570476987486</v>
      </c>
      <c r="I45" s="473">
        <f t="shared" si="0"/>
        <v>0</v>
      </c>
      <c r="J45" s="473"/>
      <c r="K45" s="485"/>
      <c r="L45" s="476">
        <f t="shared" si="1"/>
        <v>0</v>
      </c>
      <c r="M45" s="485"/>
      <c r="N45" s="476">
        <f t="shared" si="2"/>
        <v>0</v>
      </c>
      <c r="O45" s="476">
        <f t="shared" si="3"/>
        <v>0</v>
      </c>
      <c r="P45" s="241"/>
    </row>
    <row r="46" spans="2:16">
      <c r="B46" s="160" t="str">
        <f t="shared" si="4"/>
        <v/>
      </c>
      <c r="C46" s="470">
        <f>IF(D11="","-",+C45+1)</f>
        <v>2035</v>
      </c>
      <c r="D46" s="483">
        <f>IF(F45+SUM(E$17:E45)=D$10,F45,D$10-SUM(E$17:E45))</f>
        <v>19336.813873578634</v>
      </c>
      <c r="E46" s="482">
        <f>IF(+I14&lt;F45,I14,D46)</f>
        <v>1477.1842105263158</v>
      </c>
      <c r="F46" s="483">
        <f t="shared" si="25"/>
        <v>17859.629663052317</v>
      </c>
      <c r="G46" s="484">
        <f t="shared" si="26"/>
        <v>3508.5418385038784</v>
      </c>
      <c r="H46" s="453">
        <f t="shared" si="27"/>
        <v>3508.5418385038784</v>
      </c>
      <c r="I46" s="473">
        <f t="shared" si="0"/>
        <v>0</v>
      </c>
      <c r="J46" s="473"/>
      <c r="K46" s="485"/>
      <c r="L46" s="476">
        <f t="shared" si="1"/>
        <v>0</v>
      </c>
      <c r="M46" s="485"/>
      <c r="N46" s="476">
        <f t="shared" si="2"/>
        <v>0</v>
      </c>
      <c r="O46" s="476">
        <f t="shared" si="3"/>
        <v>0</v>
      </c>
      <c r="P46" s="241"/>
    </row>
    <row r="47" spans="2:16">
      <c r="B47" s="160" t="str">
        <f t="shared" si="4"/>
        <v/>
      </c>
      <c r="C47" s="470">
        <f>IF(D11="","-",+C46+1)</f>
        <v>2036</v>
      </c>
      <c r="D47" s="483">
        <f>IF(F46+SUM(E$17:E46)=D$10,F46,D$10-SUM(E$17:E46))</f>
        <v>17859.629663052317</v>
      </c>
      <c r="E47" s="482">
        <f>IF(+I14&lt;F46,I14,D47)</f>
        <v>1477.1842105263158</v>
      </c>
      <c r="F47" s="483">
        <f t="shared" si="25"/>
        <v>16382.445452526001</v>
      </c>
      <c r="G47" s="484">
        <f t="shared" si="26"/>
        <v>3340.5266293090081</v>
      </c>
      <c r="H47" s="453">
        <f t="shared" si="27"/>
        <v>3340.5266293090081</v>
      </c>
      <c r="I47" s="473">
        <f t="shared" si="0"/>
        <v>0</v>
      </c>
      <c r="J47" s="473"/>
      <c r="K47" s="485"/>
      <c r="L47" s="476">
        <f t="shared" si="1"/>
        <v>0</v>
      </c>
      <c r="M47" s="485"/>
      <c r="N47" s="476">
        <f t="shared" si="2"/>
        <v>0</v>
      </c>
      <c r="O47" s="476">
        <f t="shared" si="3"/>
        <v>0</v>
      </c>
      <c r="P47" s="241"/>
    </row>
    <row r="48" spans="2:16">
      <c r="B48" s="160" t="str">
        <f t="shared" si="4"/>
        <v/>
      </c>
      <c r="C48" s="470">
        <f>IF(D11="","-",+C47+1)</f>
        <v>2037</v>
      </c>
      <c r="D48" s="483">
        <f>IF(F47+SUM(E$17:E47)=D$10,F47,D$10-SUM(E$17:E47))</f>
        <v>16382.445452526001</v>
      </c>
      <c r="E48" s="482">
        <f>IF(+I14&lt;F47,I14,D48)</f>
        <v>1477.1842105263158</v>
      </c>
      <c r="F48" s="483">
        <f t="shared" si="25"/>
        <v>14905.261241999684</v>
      </c>
      <c r="G48" s="484">
        <f t="shared" si="26"/>
        <v>3172.5114201141378</v>
      </c>
      <c r="H48" s="453">
        <f t="shared" si="27"/>
        <v>3172.5114201141378</v>
      </c>
      <c r="I48" s="473">
        <f t="shared" si="0"/>
        <v>0</v>
      </c>
      <c r="J48" s="473"/>
      <c r="K48" s="485"/>
      <c r="L48" s="476">
        <f t="shared" si="1"/>
        <v>0</v>
      </c>
      <c r="M48" s="485"/>
      <c r="N48" s="476">
        <f t="shared" si="2"/>
        <v>0</v>
      </c>
      <c r="O48" s="476">
        <f t="shared" si="3"/>
        <v>0</v>
      </c>
      <c r="P48" s="241"/>
    </row>
    <row r="49" spans="2:16">
      <c r="B49" s="160" t="str">
        <f t="shared" si="4"/>
        <v/>
      </c>
      <c r="C49" s="470">
        <f>IF(D11="","-",+C48+1)</f>
        <v>2038</v>
      </c>
      <c r="D49" s="483">
        <f>IF(F48+SUM(E$17:E48)=D$10,F48,D$10-SUM(E$17:E48))</f>
        <v>14905.261241999684</v>
      </c>
      <c r="E49" s="482">
        <f>IF(+I14&lt;F48,I14,D49)</f>
        <v>1477.1842105263158</v>
      </c>
      <c r="F49" s="483">
        <f t="shared" ref="F49:F72" si="28">+D49-E49</f>
        <v>13428.077031473367</v>
      </c>
      <c r="G49" s="484">
        <f t="shared" si="26"/>
        <v>3004.4962109192675</v>
      </c>
      <c r="H49" s="453">
        <f t="shared" si="27"/>
        <v>3004.4962109192675</v>
      </c>
      <c r="I49" s="473">
        <f t="shared" ref="I49:I72" si="29">H49-G49</f>
        <v>0</v>
      </c>
      <c r="J49" s="473"/>
      <c r="K49" s="485"/>
      <c r="L49" s="476">
        <f t="shared" ref="L49:L72" si="30">IF(K49&lt;&gt;0,+G49-K49,0)</f>
        <v>0</v>
      </c>
      <c r="M49" s="485"/>
      <c r="N49" s="476">
        <f t="shared" ref="N49:N72" si="31">IF(M49&lt;&gt;0,+H49-M49,0)</f>
        <v>0</v>
      </c>
      <c r="O49" s="476">
        <f t="shared" ref="O49:O72" si="32">+N49-L49</f>
        <v>0</v>
      </c>
      <c r="P49" s="241"/>
    </row>
    <row r="50" spans="2:16">
      <c r="B50" s="160" t="str">
        <f t="shared" si="4"/>
        <v/>
      </c>
      <c r="C50" s="470">
        <f>IF(D11="","-",+C49+1)</f>
        <v>2039</v>
      </c>
      <c r="D50" s="483">
        <f>IF(F49+SUM(E$17:E49)=D$10,F49,D$10-SUM(E$17:E49))</f>
        <v>13428.077031473367</v>
      </c>
      <c r="E50" s="482">
        <f>IF(+I14&lt;F49,I14,D50)</f>
        <v>1477.1842105263158</v>
      </c>
      <c r="F50" s="483">
        <f t="shared" si="28"/>
        <v>11950.89282094705</v>
      </c>
      <c r="G50" s="484">
        <f t="shared" si="26"/>
        <v>2836.4810017243972</v>
      </c>
      <c r="H50" s="453">
        <f t="shared" si="27"/>
        <v>2836.4810017243972</v>
      </c>
      <c r="I50" s="473">
        <f t="shared" si="29"/>
        <v>0</v>
      </c>
      <c r="J50" s="473"/>
      <c r="K50" s="485"/>
      <c r="L50" s="476">
        <f t="shared" si="30"/>
        <v>0</v>
      </c>
      <c r="M50" s="485"/>
      <c r="N50" s="476">
        <f t="shared" si="31"/>
        <v>0</v>
      </c>
      <c r="O50" s="476">
        <f t="shared" si="32"/>
        <v>0</v>
      </c>
      <c r="P50" s="241"/>
    </row>
    <row r="51" spans="2:16">
      <c r="B51" s="160" t="str">
        <f t="shared" si="4"/>
        <v/>
      </c>
      <c r="C51" s="470">
        <f>IF(D11="","-",+C50+1)</f>
        <v>2040</v>
      </c>
      <c r="D51" s="483">
        <f>IF(F50+SUM(E$17:E50)=D$10,F50,D$10-SUM(E$17:E50))</f>
        <v>11950.89282094705</v>
      </c>
      <c r="E51" s="482">
        <f>IF(+I14&lt;F50,I14,D51)</f>
        <v>1477.1842105263158</v>
      </c>
      <c r="F51" s="483">
        <f t="shared" si="28"/>
        <v>10473.708610420734</v>
      </c>
      <c r="G51" s="484">
        <f t="shared" si="26"/>
        <v>2668.4657925295269</v>
      </c>
      <c r="H51" s="453">
        <f t="shared" si="27"/>
        <v>2668.4657925295269</v>
      </c>
      <c r="I51" s="473">
        <f t="shared" si="29"/>
        <v>0</v>
      </c>
      <c r="J51" s="473"/>
      <c r="K51" s="485"/>
      <c r="L51" s="476">
        <f t="shared" si="30"/>
        <v>0</v>
      </c>
      <c r="M51" s="485"/>
      <c r="N51" s="476">
        <f t="shared" si="31"/>
        <v>0</v>
      </c>
      <c r="O51" s="476">
        <f t="shared" si="32"/>
        <v>0</v>
      </c>
      <c r="P51" s="241"/>
    </row>
    <row r="52" spans="2:16">
      <c r="B52" s="160" t="str">
        <f t="shared" si="4"/>
        <v/>
      </c>
      <c r="C52" s="470">
        <f>IF(D11="","-",+C51+1)</f>
        <v>2041</v>
      </c>
      <c r="D52" s="483">
        <f>IF(F51+SUM(E$17:E51)=D$10,F51,D$10-SUM(E$17:E51))</f>
        <v>10473.708610420734</v>
      </c>
      <c r="E52" s="482">
        <f>IF(+I14&lt;F51,I14,D52)</f>
        <v>1477.1842105263158</v>
      </c>
      <c r="F52" s="483">
        <f t="shared" si="28"/>
        <v>8996.524399894417</v>
      </c>
      <c r="G52" s="484">
        <f t="shared" si="26"/>
        <v>2500.4505833346561</v>
      </c>
      <c r="H52" s="453">
        <f t="shared" si="27"/>
        <v>2500.4505833346561</v>
      </c>
      <c r="I52" s="473">
        <f t="shared" si="29"/>
        <v>0</v>
      </c>
      <c r="J52" s="473"/>
      <c r="K52" s="485"/>
      <c r="L52" s="476">
        <f t="shared" si="30"/>
        <v>0</v>
      </c>
      <c r="M52" s="485"/>
      <c r="N52" s="476">
        <f t="shared" si="31"/>
        <v>0</v>
      </c>
      <c r="O52" s="476">
        <f t="shared" si="32"/>
        <v>0</v>
      </c>
      <c r="P52" s="241"/>
    </row>
    <row r="53" spans="2:16">
      <c r="B53" s="160" t="str">
        <f t="shared" si="4"/>
        <v/>
      </c>
      <c r="C53" s="470">
        <f>IF(D11="","-",+C52+1)</f>
        <v>2042</v>
      </c>
      <c r="D53" s="483">
        <f>IF(F52+SUM(E$17:E52)=D$10,F52,D$10-SUM(E$17:E52))</f>
        <v>8996.524399894417</v>
      </c>
      <c r="E53" s="482">
        <f>IF(+I14&lt;F52,I14,D53)</f>
        <v>1477.1842105263158</v>
      </c>
      <c r="F53" s="483">
        <f t="shared" si="28"/>
        <v>7519.3401893681012</v>
      </c>
      <c r="G53" s="484">
        <f t="shared" si="26"/>
        <v>2332.4353741397858</v>
      </c>
      <c r="H53" s="453">
        <f t="shared" si="27"/>
        <v>2332.4353741397858</v>
      </c>
      <c r="I53" s="473">
        <f t="shared" si="29"/>
        <v>0</v>
      </c>
      <c r="J53" s="473"/>
      <c r="K53" s="485"/>
      <c r="L53" s="476">
        <f t="shared" si="30"/>
        <v>0</v>
      </c>
      <c r="M53" s="485"/>
      <c r="N53" s="476">
        <f t="shared" si="31"/>
        <v>0</v>
      </c>
      <c r="O53" s="476">
        <f t="shared" si="32"/>
        <v>0</v>
      </c>
      <c r="P53" s="241"/>
    </row>
    <row r="54" spans="2:16">
      <c r="B54" s="160" t="str">
        <f t="shared" si="4"/>
        <v/>
      </c>
      <c r="C54" s="470">
        <f>IF(D11="","-",+C53+1)</f>
        <v>2043</v>
      </c>
      <c r="D54" s="483">
        <f>IF(F53+SUM(E$17:E53)=D$10,F53,D$10-SUM(E$17:E53))</f>
        <v>7519.3401893681012</v>
      </c>
      <c r="E54" s="482">
        <f>IF(+I14&lt;F53,I14,D54)</f>
        <v>1477.1842105263158</v>
      </c>
      <c r="F54" s="483">
        <f t="shared" si="28"/>
        <v>6042.1559788417853</v>
      </c>
      <c r="G54" s="484">
        <f t="shared" si="26"/>
        <v>2164.420164944916</v>
      </c>
      <c r="H54" s="453">
        <f t="shared" si="27"/>
        <v>2164.420164944916</v>
      </c>
      <c r="I54" s="473">
        <f t="shared" si="29"/>
        <v>0</v>
      </c>
      <c r="J54" s="473"/>
      <c r="K54" s="485"/>
      <c r="L54" s="476">
        <f t="shared" si="30"/>
        <v>0</v>
      </c>
      <c r="M54" s="485"/>
      <c r="N54" s="476">
        <f t="shared" si="31"/>
        <v>0</v>
      </c>
      <c r="O54" s="476">
        <f t="shared" si="32"/>
        <v>0</v>
      </c>
      <c r="P54" s="241"/>
    </row>
    <row r="55" spans="2:16">
      <c r="B55" s="160" t="str">
        <f t="shared" si="4"/>
        <v/>
      </c>
      <c r="C55" s="470">
        <f>IF(D11="","-",+C54+1)</f>
        <v>2044</v>
      </c>
      <c r="D55" s="483">
        <f>IF(F54+SUM(E$17:E54)=D$10,F54,D$10-SUM(E$17:E54))</f>
        <v>6042.1559788417853</v>
      </c>
      <c r="E55" s="482">
        <f>IF(+I14&lt;F54,I14,D55)</f>
        <v>1477.1842105263158</v>
      </c>
      <c r="F55" s="483">
        <f t="shared" si="28"/>
        <v>4564.9717683154695</v>
      </c>
      <c r="G55" s="484">
        <f t="shared" si="26"/>
        <v>1996.4049557500455</v>
      </c>
      <c r="H55" s="453">
        <f t="shared" si="27"/>
        <v>1996.4049557500455</v>
      </c>
      <c r="I55" s="473">
        <f t="shared" si="29"/>
        <v>0</v>
      </c>
      <c r="J55" s="473"/>
      <c r="K55" s="485"/>
      <c r="L55" s="476">
        <f t="shared" si="30"/>
        <v>0</v>
      </c>
      <c r="M55" s="485"/>
      <c r="N55" s="476">
        <f t="shared" si="31"/>
        <v>0</v>
      </c>
      <c r="O55" s="476">
        <f t="shared" si="32"/>
        <v>0</v>
      </c>
      <c r="P55" s="241"/>
    </row>
    <row r="56" spans="2:16">
      <c r="B56" s="160" t="str">
        <f t="shared" si="4"/>
        <v/>
      </c>
      <c r="C56" s="470">
        <f>IF(D11="","-",+C55+1)</f>
        <v>2045</v>
      </c>
      <c r="D56" s="483">
        <f>IF(F55+SUM(E$17:E55)=D$10,F55,D$10-SUM(E$17:E55))</f>
        <v>4564.9717683154695</v>
      </c>
      <c r="E56" s="482">
        <f>IF(+I14&lt;F55,I14,D56)</f>
        <v>1477.1842105263158</v>
      </c>
      <c r="F56" s="483">
        <f t="shared" si="28"/>
        <v>3087.7875577891537</v>
      </c>
      <c r="G56" s="484">
        <f t="shared" si="26"/>
        <v>1828.3897465551752</v>
      </c>
      <c r="H56" s="453">
        <f t="shared" si="27"/>
        <v>1828.3897465551752</v>
      </c>
      <c r="I56" s="473">
        <f t="shared" si="29"/>
        <v>0</v>
      </c>
      <c r="J56" s="473"/>
      <c r="K56" s="485"/>
      <c r="L56" s="476">
        <f t="shared" si="30"/>
        <v>0</v>
      </c>
      <c r="M56" s="485"/>
      <c r="N56" s="476">
        <f t="shared" si="31"/>
        <v>0</v>
      </c>
      <c r="O56" s="476">
        <f t="shared" si="32"/>
        <v>0</v>
      </c>
      <c r="P56" s="241"/>
    </row>
    <row r="57" spans="2:16">
      <c r="B57" s="160" t="str">
        <f t="shared" si="4"/>
        <v/>
      </c>
      <c r="C57" s="470">
        <f>IF(D11="","-",+C56+1)</f>
        <v>2046</v>
      </c>
      <c r="D57" s="483">
        <f>IF(F56+SUM(E$17:E56)=D$10,F56,D$10-SUM(E$17:E56))</f>
        <v>3087.7875577891537</v>
      </c>
      <c r="E57" s="482">
        <f>IF(+I14&lt;F56,I14,D57)</f>
        <v>1477.1842105263158</v>
      </c>
      <c r="F57" s="483">
        <f t="shared" si="28"/>
        <v>1610.6033472628378</v>
      </c>
      <c r="G57" s="484">
        <f t="shared" si="26"/>
        <v>1660.3745373603049</v>
      </c>
      <c r="H57" s="453">
        <f t="shared" si="27"/>
        <v>1660.3745373603049</v>
      </c>
      <c r="I57" s="473">
        <f t="shared" si="29"/>
        <v>0</v>
      </c>
      <c r="J57" s="473"/>
      <c r="K57" s="485"/>
      <c r="L57" s="476">
        <f t="shared" si="30"/>
        <v>0</v>
      </c>
      <c r="M57" s="485"/>
      <c r="N57" s="476">
        <f t="shared" si="31"/>
        <v>0</v>
      </c>
      <c r="O57" s="476">
        <f t="shared" si="32"/>
        <v>0</v>
      </c>
      <c r="P57" s="241"/>
    </row>
    <row r="58" spans="2:16">
      <c r="B58" s="160" t="str">
        <f t="shared" si="4"/>
        <v/>
      </c>
      <c r="C58" s="470">
        <f>IF(D11="","-",+C57+1)</f>
        <v>2047</v>
      </c>
      <c r="D58" s="483">
        <f>IF(F57+SUM(E$17:E57)=D$10,F57,D$10-SUM(E$17:E57))</f>
        <v>1610.6033472628378</v>
      </c>
      <c r="E58" s="482">
        <f>IF(+I14&lt;F57,I14,D58)</f>
        <v>1477.1842105263158</v>
      </c>
      <c r="F58" s="483">
        <f t="shared" si="28"/>
        <v>133.41913673652198</v>
      </c>
      <c r="G58" s="484">
        <f t="shared" si="26"/>
        <v>1492.3593281654346</v>
      </c>
      <c r="H58" s="453">
        <f t="shared" si="27"/>
        <v>1492.3593281654346</v>
      </c>
      <c r="I58" s="473">
        <f t="shared" si="29"/>
        <v>0</v>
      </c>
      <c r="J58" s="473"/>
      <c r="K58" s="485"/>
      <c r="L58" s="476">
        <f t="shared" si="30"/>
        <v>0</v>
      </c>
      <c r="M58" s="485"/>
      <c r="N58" s="476">
        <f t="shared" si="31"/>
        <v>0</v>
      </c>
      <c r="O58" s="476">
        <f t="shared" si="32"/>
        <v>0</v>
      </c>
      <c r="P58" s="241"/>
    </row>
    <row r="59" spans="2:16">
      <c r="B59" s="160" t="str">
        <f t="shared" si="4"/>
        <v>IU</v>
      </c>
      <c r="C59" s="470">
        <f>IF(D11="","-",+C58+1)</f>
        <v>2048</v>
      </c>
      <c r="D59" s="483">
        <f>IF(F58+SUM(E$17:E58)=D$10,F58,D$10-SUM(E$17:E58))</f>
        <v>133.41913673657109</v>
      </c>
      <c r="E59" s="482">
        <f>IF(+I14&lt;F58,I14,D59)</f>
        <v>133.41913673657109</v>
      </c>
      <c r="F59" s="483">
        <f t="shared" si="28"/>
        <v>0</v>
      </c>
      <c r="G59" s="484">
        <f t="shared" si="26"/>
        <v>133.41913673657109</v>
      </c>
      <c r="H59" s="453">
        <f t="shared" si="27"/>
        <v>133.41913673657109</v>
      </c>
      <c r="I59" s="473">
        <f t="shared" si="29"/>
        <v>0</v>
      </c>
      <c r="J59" s="473"/>
      <c r="K59" s="485"/>
      <c r="L59" s="476">
        <f t="shared" si="30"/>
        <v>0</v>
      </c>
      <c r="M59" s="485"/>
      <c r="N59" s="476">
        <f t="shared" si="31"/>
        <v>0</v>
      </c>
      <c r="O59" s="476">
        <f t="shared" si="32"/>
        <v>0</v>
      </c>
      <c r="P59" s="241"/>
    </row>
    <row r="60" spans="2:16">
      <c r="B60" s="160" t="str">
        <f t="shared" si="4"/>
        <v/>
      </c>
      <c r="C60" s="470">
        <f>IF(D11="","-",+C59+1)</f>
        <v>2049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8"/>
        <v>0</v>
      </c>
      <c r="G60" s="484">
        <f t="shared" si="26"/>
        <v>0</v>
      </c>
      <c r="H60" s="453">
        <f t="shared" si="27"/>
        <v>0</v>
      </c>
      <c r="I60" s="473">
        <f t="shared" si="29"/>
        <v>0</v>
      </c>
      <c r="J60" s="473"/>
      <c r="K60" s="485"/>
      <c r="L60" s="476">
        <f t="shared" si="30"/>
        <v>0</v>
      </c>
      <c r="M60" s="485"/>
      <c r="N60" s="476">
        <f t="shared" si="31"/>
        <v>0</v>
      </c>
      <c r="O60" s="476">
        <f t="shared" si="32"/>
        <v>0</v>
      </c>
      <c r="P60" s="241"/>
    </row>
    <row r="61" spans="2:16">
      <c r="B61" s="160" t="str">
        <f t="shared" si="4"/>
        <v/>
      </c>
      <c r="C61" s="470">
        <f>IF(D11="","-",+C60+1)</f>
        <v>2050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8"/>
        <v>0</v>
      </c>
      <c r="G61" s="486">
        <f t="shared" si="26"/>
        <v>0</v>
      </c>
      <c r="H61" s="453">
        <f t="shared" si="27"/>
        <v>0</v>
      </c>
      <c r="I61" s="473">
        <f t="shared" si="29"/>
        <v>0</v>
      </c>
      <c r="J61" s="473"/>
      <c r="K61" s="485"/>
      <c r="L61" s="476">
        <f t="shared" si="30"/>
        <v>0</v>
      </c>
      <c r="M61" s="485"/>
      <c r="N61" s="476">
        <f t="shared" si="31"/>
        <v>0</v>
      </c>
      <c r="O61" s="476">
        <f t="shared" si="32"/>
        <v>0</v>
      </c>
      <c r="P61" s="241"/>
    </row>
    <row r="62" spans="2:16">
      <c r="B62" s="160" t="str">
        <f t="shared" si="4"/>
        <v/>
      </c>
      <c r="C62" s="470">
        <f>IF(D11="","-",+C61+1)</f>
        <v>2051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8"/>
        <v>0</v>
      </c>
      <c r="G62" s="486">
        <f t="shared" si="26"/>
        <v>0</v>
      </c>
      <c r="H62" s="453">
        <f t="shared" si="27"/>
        <v>0</v>
      </c>
      <c r="I62" s="473">
        <f t="shared" si="29"/>
        <v>0</v>
      </c>
      <c r="J62" s="473"/>
      <c r="K62" s="485"/>
      <c r="L62" s="476">
        <f t="shared" si="30"/>
        <v>0</v>
      </c>
      <c r="M62" s="485"/>
      <c r="N62" s="476">
        <f t="shared" si="31"/>
        <v>0</v>
      </c>
      <c r="O62" s="476">
        <f t="shared" si="32"/>
        <v>0</v>
      </c>
      <c r="P62" s="241"/>
    </row>
    <row r="63" spans="2:16">
      <c r="B63" s="563" t="str">
        <f t="shared" si="4"/>
        <v/>
      </c>
      <c r="C63" s="470">
        <f>IF(D11="","-",+C62+1)</f>
        <v>2052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8"/>
        <v>0</v>
      </c>
      <c r="G63" s="486">
        <f t="shared" si="26"/>
        <v>0</v>
      </c>
      <c r="H63" s="453">
        <f t="shared" si="27"/>
        <v>0</v>
      </c>
      <c r="I63" s="473">
        <f t="shared" si="29"/>
        <v>0</v>
      </c>
      <c r="J63" s="473"/>
      <c r="K63" s="485"/>
      <c r="L63" s="476">
        <f t="shared" si="30"/>
        <v>0</v>
      </c>
      <c r="M63" s="485"/>
      <c r="N63" s="476">
        <f t="shared" si="31"/>
        <v>0</v>
      </c>
      <c r="O63" s="476">
        <f t="shared" si="32"/>
        <v>0</v>
      </c>
      <c r="P63" s="241"/>
    </row>
    <row r="64" spans="2:16">
      <c r="B64" s="160" t="str">
        <f t="shared" si="4"/>
        <v/>
      </c>
      <c r="C64" s="470">
        <f>IF(D11="","-",+C63+1)</f>
        <v>2053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8"/>
        <v>0</v>
      </c>
      <c r="G64" s="486">
        <f t="shared" si="26"/>
        <v>0</v>
      </c>
      <c r="H64" s="453">
        <f t="shared" si="27"/>
        <v>0</v>
      </c>
      <c r="I64" s="473">
        <f t="shared" si="29"/>
        <v>0</v>
      </c>
      <c r="J64" s="473"/>
      <c r="K64" s="485"/>
      <c r="L64" s="476">
        <f t="shared" si="30"/>
        <v>0</v>
      </c>
      <c r="M64" s="485"/>
      <c r="N64" s="476">
        <f t="shared" si="31"/>
        <v>0</v>
      </c>
      <c r="O64" s="476">
        <f t="shared" si="32"/>
        <v>0</v>
      </c>
      <c r="P64" s="241"/>
    </row>
    <row r="65" spans="2:16">
      <c r="B65" s="160" t="str">
        <f t="shared" si="4"/>
        <v/>
      </c>
      <c r="C65" s="470">
        <f>IF(D11="","-",+C64+1)</f>
        <v>2054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8"/>
        <v>0</v>
      </c>
      <c r="G65" s="486">
        <f t="shared" si="26"/>
        <v>0</v>
      </c>
      <c r="H65" s="453">
        <f t="shared" si="27"/>
        <v>0</v>
      </c>
      <c r="I65" s="473">
        <f t="shared" si="29"/>
        <v>0</v>
      </c>
      <c r="J65" s="473"/>
      <c r="K65" s="485"/>
      <c r="L65" s="476">
        <f t="shared" si="30"/>
        <v>0</v>
      </c>
      <c r="M65" s="485"/>
      <c r="N65" s="476">
        <f t="shared" si="31"/>
        <v>0</v>
      </c>
      <c r="O65" s="476">
        <f t="shared" si="32"/>
        <v>0</v>
      </c>
      <c r="P65" s="241"/>
    </row>
    <row r="66" spans="2:16">
      <c r="B66" s="160" t="str">
        <f t="shared" si="4"/>
        <v/>
      </c>
      <c r="C66" s="470">
        <f>IF(D11="","-",+C65+1)</f>
        <v>2055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8"/>
        <v>0</v>
      </c>
      <c r="G66" s="486">
        <f t="shared" si="26"/>
        <v>0</v>
      </c>
      <c r="H66" s="453">
        <f t="shared" si="27"/>
        <v>0</v>
      </c>
      <c r="I66" s="473">
        <f t="shared" si="29"/>
        <v>0</v>
      </c>
      <c r="J66" s="473"/>
      <c r="K66" s="485"/>
      <c r="L66" s="476">
        <f t="shared" si="30"/>
        <v>0</v>
      </c>
      <c r="M66" s="485"/>
      <c r="N66" s="476">
        <f t="shared" si="31"/>
        <v>0</v>
      </c>
      <c r="O66" s="476">
        <f t="shared" si="32"/>
        <v>0</v>
      </c>
      <c r="P66" s="241"/>
    </row>
    <row r="67" spans="2:16">
      <c r="B67" s="160" t="str">
        <f t="shared" si="4"/>
        <v/>
      </c>
      <c r="C67" s="470">
        <f>IF(D11="","-",+C66+1)</f>
        <v>2056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8"/>
        <v>0</v>
      </c>
      <c r="G67" s="486">
        <f t="shared" si="26"/>
        <v>0</v>
      </c>
      <c r="H67" s="453">
        <f t="shared" si="27"/>
        <v>0</v>
      </c>
      <c r="I67" s="473">
        <f t="shared" si="29"/>
        <v>0</v>
      </c>
      <c r="J67" s="473"/>
      <c r="K67" s="485"/>
      <c r="L67" s="476">
        <f t="shared" si="30"/>
        <v>0</v>
      </c>
      <c r="M67" s="485"/>
      <c r="N67" s="476">
        <f t="shared" si="31"/>
        <v>0</v>
      </c>
      <c r="O67" s="476">
        <f t="shared" si="32"/>
        <v>0</v>
      </c>
      <c r="P67" s="241"/>
    </row>
    <row r="68" spans="2:16">
      <c r="B68" s="160" t="str">
        <f t="shared" si="4"/>
        <v/>
      </c>
      <c r="C68" s="470">
        <f>IF(D11="","-",+C67+1)</f>
        <v>2057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8"/>
        <v>0</v>
      </c>
      <c r="G68" s="486">
        <f t="shared" si="26"/>
        <v>0</v>
      </c>
      <c r="H68" s="453">
        <f t="shared" si="27"/>
        <v>0</v>
      </c>
      <c r="I68" s="473">
        <f t="shared" si="29"/>
        <v>0</v>
      </c>
      <c r="J68" s="473"/>
      <c r="K68" s="485"/>
      <c r="L68" s="476">
        <f t="shared" si="30"/>
        <v>0</v>
      </c>
      <c r="M68" s="485"/>
      <c r="N68" s="476">
        <f t="shared" si="31"/>
        <v>0</v>
      </c>
      <c r="O68" s="476">
        <f t="shared" si="32"/>
        <v>0</v>
      </c>
      <c r="P68" s="241"/>
    </row>
    <row r="69" spans="2:16">
      <c r="B69" s="160" t="str">
        <f t="shared" si="4"/>
        <v/>
      </c>
      <c r="C69" s="470">
        <f>IF(D11="","-",+C68+1)</f>
        <v>2058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8"/>
        <v>0</v>
      </c>
      <c r="G69" s="486">
        <f t="shared" si="26"/>
        <v>0</v>
      </c>
      <c r="H69" s="453">
        <f t="shared" si="27"/>
        <v>0</v>
      </c>
      <c r="I69" s="473">
        <f t="shared" si="29"/>
        <v>0</v>
      </c>
      <c r="J69" s="473"/>
      <c r="K69" s="485"/>
      <c r="L69" s="476">
        <f t="shared" si="30"/>
        <v>0</v>
      </c>
      <c r="M69" s="485"/>
      <c r="N69" s="476">
        <f t="shared" si="31"/>
        <v>0</v>
      </c>
      <c r="O69" s="476">
        <f t="shared" si="32"/>
        <v>0</v>
      </c>
      <c r="P69" s="241"/>
    </row>
    <row r="70" spans="2:16">
      <c r="B70" s="160" t="str">
        <f t="shared" si="4"/>
        <v/>
      </c>
      <c r="C70" s="470">
        <f>IF(D11="","-",+C69+1)</f>
        <v>2059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8"/>
        <v>0</v>
      </c>
      <c r="G70" s="486">
        <f t="shared" si="26"/>
        <v>0</v>
      </c>
      <c r="H70" s="453">
        <f t="shared" si="27"/>
        <v>0</v>
      </c>
      <c r="I70" s="473">
        <f t="shared" si="29"/>
        <v>0</v>
      </c>
      <c r="J70" s="473"/>
      <c r="K70" s="485"/>
      <c r="L70" s="476">
        <f t="shared" si="30"/>
        <v>0</v>
      </c>
      <c r="M70" s="485"/>
      <c r="N70" s="476">
        <f t="shared" si="31"/>
        <v>0</v>
      </c>
      <c r="O70" s="476">
        <f t="shared" si="32"/>
        <v>0</v>
      </c>
      <c r="P70" s="241"/>
    </row>
    <row r="71" spans="2:16">
      <c r="B71" s="160" t="str">
        <f t="shared" si="4"/>
        <v/>
      </c>
      <c r="C71" s="470">
        <f>IF(D11="","-",+C70+1)</f>
        <v>2060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8"/>
        <v>0</v>
      </c>
      <c r="G71" s="486">
        <f t="shared" si="26"/>
        <v>0</v>
      </c>
      <c r="H71" s="453">
        <f t="shared" si="27"/>
        <v>0</v>
      </c>
      <c r="I71" s="473">
        <f t="shared" si="29"/>
        <v>0</v>
      </c>
      <c r="J71" s="473"/>
      <c r="K71" s="485"/>
      <c r="L71" s="476">
        <f t="shared" si="30"/>
        <v>0</v>
      </c>
      <c r="M71" s="485"/>
      <c r="N71" s="476">
        <f t="shared" si="31"/>
        <v>0</v>
      </c>
      <c r="O71" s="476">
        <f t="shared" si="32"/>
        <v>0</v>
      </c>
      <c r="P71" s="241"/>
    </row>
    <row r="72" spans="2:16" ht="13.5" thickBot="1">
      <c r="B72" s="160" t="str">
        <f t="shared" si="4"/>
        <v/>
      </c>
      <c r="C72" s="487">
        <f>IF(D11="","-",+C71+1)</f>
        <v>2061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8"/>
        <v>0</v>
      </c>
      <c r="G72" s="490">
        <f t="shared" si="26"/>
        <v>0</v>
      </c>
      <c r="H72" s="433">
        <f t="shared" si="27"/>
        <v>0</v>
      </c>
      <c r="I72" s="491">
        <f t="shared" si="29"/>
        <v>0</v>
      </c>
      <c r="J72" s="473"/>
      <c r="K72" s="492"/>
      <c r="L72" s="493">
        <f t="shared" si="30"/>
        <v>0</v>
      </c>
      <c r="M72" s="492"/>
      <c r="N72" s="493">
        <f t="shared" si="31"/>
        <v>0</v>
      </c>
      <c r="O72" s="493">
        <f t="shared" si="32"/>
        <v>0</v>
      </c>
      <c r="P72" s="241"/>
    </row>
    <row r="73" spans="2:16">
      <c r="C73" s="345" t="s">
        <v>77</v>
      </c>
      <c r="D73" s="346"/>
      <c r="E73" s="346">
        <f>SUM(E17:E72)</f>
        <v>56133</v>
      </c>
      <c r="F73" s="346"/>
      <c r="G73" s="346">
        <f>SUM(G17:G72)</f>
        <v>178923.01528511907</v>
      </c>
      <c r="H73" s="346">
        <f>SUM(H17:H72)</f>
        <v>178923.01528511907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95" t="str">
        <f ca="1">P1</f>
        <v>PSO Project 8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5328.2273193212004</v>
      </c>
      <c r="N87" s="506">
        <f>IF(J92&lt;D11,0,VLOOKUP(J92,C17:O72,11))</f>
        <v>5328.2273193212004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5626.9875444770105</v>
      </c>
      <c r="N88" s="510">
        <f>IF(J92&lt;D11,0,VLOOKUP(J92,C99:P154,7))</f>
        <v>5626.9875444770105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Weleetka &amp; Okmulgee Wavetrap replacement 81-805*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298.76022515581008</v>
      </c>
      <c r="N89" s="515">
        <f>+N88-N87</f>
        <v>298.76022515581008</v>
      </c>
      <c r="O89" s="516">
        <f>+O88-O87</f>
        <v>0</v>
      </c>
      <c r="P89" s="231"/>
    </row>
    <row r="90" spans="1:16" ht="13.5" thickBot="1">
      <c r="C90" s="494"/>
      <c r="D90" s="517" t="str">
        <f>D8</f>
        <v>DOES NOT MEET SPP $100,000 MINIMUM INVESTMENT FOR REGIONAL BPU SHARING.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TP2005046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445">
        <v>56133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f>IF(D11=I10,"",D11)</f>
        <v>2006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f>IF(D11=I10,"",D12)</f>
        <v>3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1369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59" t="s">
        <v>211</v>
      </c>
      <c r="M97" s="461" t="s">
        <v>99</v>
      </c>
      <c r="N97" s="459" t="s">
        <v>211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2006</v>
      </c>
      <c r="D99" s="471">
        <v>0</v>
      </c>
      <c r="E99" s="478">
        <v>0</v>
      </c>
      <c r="F99" s="477">
        <v>56133</v>
      </c>
      <c r="G99" s="535">
        <v>28067</v>
      </c>
      <c r="H99" s="536">
        <v>0</v>
      </c>
      <c r="I99" s="537">
        <v>0</v>
      </c>
      <c r="J99" s="476">
        <f t="shared" ref="J99:J130" si="33">+I99-H99</f>
        <v>0</v>
      </c>
      <c r="K99" s="476"/>
      <c r="L99" s="552">
        <v>0</v>
      </c>
      <c r="M99" s="475">
        <f t="shared" ref="M99:M130" si="34">IF(L99&lt;&gt;0,+H99-L99,0)</f>
        <v>0</v>
      </c>
      <c r="N99" s="552">
        <v>0</v>
      </c>
      <c r="O99" s="475">
        <f t="shared" ref="O99:O130" si="35">IF(N99&lt;&gt;0,+I99-N99,0)</f>
        <v>0</v>
      </c>
      <c r="P99" s="475">
        <f t="shared" ref="P99:P130" si="36">+O99-M99</f>
        <v>0</v>
      </c>
    </row>
    <row r="100" spans="1:16">
      <c r="B100" s="160" t="str">
        <f>IF(D100=F99,"","IU")</f>
        <v/>
      </c>
      <c r="C100" s="470">
        <f>IF(D93="","-",+C99+1)</f>
        <v>2007</v>
      </c>
      <c r="D100" s="471">
        <v>56133</v>
      </c>
      <c r="E100" s="478">
        <v>1059</v>
      </c>
      <c r="F100" s="477">
        <v>55074</v>
      </c>
      <c r="G100" s="477">
        <v>55603</v>
      </c>
      <c r="H100" s="478">
        <v>0</v>
      </c>
      <c r="I100" s="479">
        <v>0</v>
      </c>
      <c r="J100" s="476">
        <f t="shared" si="33"/>
        <v>0</v>
      </c>
      <c r="K100" s="476"/>
      <c r="L100" s="474">
        <v>0</v>
      </c>
      <c r="M100" s="476">
        <f t="shared" si="34"/>
        <v>0</v>
      </c>
      <c r="N100" s="474">
        <v>0</v>
      </c>
      <c r="O100" s="476">
        <f t="shared" si="35"/>
        <v>0</v>
      </c>
      <c r="P100" s="476">
        <f t="shared" si="36"/>
        <v>0</v>
      </c>
    </row>
    <row r="101" spans="1:16">
      <c r="B101" s="160" t="str">
        <f t="shared" ref="B101:B154" si="37">IF(D101=F100,"","IU")</f>
        <v/>
      </c>
      <c r="C101" s="470">
        <f>IF(D93="","-",+C100+1)</f>
        <v>2008</v>
      </c>
      <c r="D101" s="471">
        <v>55074</v>
      </c>
      <c r="E101" s="478">
        <v>1059</v>
      </c>
      <c r="F101" s="477">
        <v>54015</v>
      </c>
      <c r="G101" s="477">
        <v>54544</v>
      </c>
      <c r="H101" s="478">
        <v>9723</v>
      </c>
      <c r="I101" s="479">
        <v>9723</v>
      </c>
      <c r="J101" s="476">
        <f t="shared" si="33"/>
        <v>0</v>
      </c>
      <c r="K101" s="476"/>
      <c r="L101" s="474">
        <v>9723</v>
      </c>
      <c r="M101" s="476">
        <f t="shared" si="34"/>
        <v>0</v>
      </c>
      <c r="N101" s="474">
        <v>9723</v>
      </c>
      <c r="O101" s="476">
        <f t="shared" si="35"/>
        <v>0</v>
      </c>
      <c r="P101" s="476">
        <f t="shared" si="36"/>
        <v>0</v>
      </c>
    </row>
    <row r="102" spans="1:16">
      <c r="B102" s="160" t="str">
        <f t="shared" si="37"/>
        <v/>
      </c>
      <c r="C102" s="470">
        <f>IF(D93="","-",+C101+1)</f>
        <v>2009</v>
      </c>
      <c r="D102" s="471">
        <v>54015</v>
      </c>
      <c r="E102" s="478">
        <v>1002</v>
      </c>
      <c r="F102" s="477">
        <v>53013</v>
      </c>
      <c r="G102" s="477">
        <v>53514</v>
      </c>
      <c r="H102" s="478">
        <v>8826.1899911613018</v>
      </c>
      <c r="I102" s="479">
        <v>8826.1899911613018</v>
      </c>
      <c r="J102" s="476">
        <f t="shared" si="33"/>
        <v>0</v>
      </c>
      <c r="K102" s="476"/>
      <c r="L102" s="538">
        <f t="shared" ref="L102:L107" si="38">H102</f>
        <v>8826.1899911613018</v>
      </c>
      <c r="M102" s="539">
        <f t="shared" si="34"/>
        <v>0</v>
      </c>
      <c r="N102" s="538">
        <f t="shared" ref="N102:N107" si="39">I102</f>
        <v>8826.1899911613018</v>
      </c>
      <c r="O102" s="476">
        <f t="shared" si="35"/>
        <v>0</v>
      </c>
      <c r="P102" s="476">
        <f t="shared" si="36"/>
        <v>0</v>
      </c>
    </row>
    <row r="103" spans="1:16">
      <c r="B103" s="160" t="str">
        <f t="shared" si="37"/>
        <v/>
      </c>
      <c r="C103" s="470">
        <f>IF(D93="","-",+C102+1)</f>
        <v>2010</v>
      </c>
      <c r="D103" s="471">
        <v>53013</v>
      </c>
      <c r="E103" s="478">
        <v>1101</v>
      </c>
      <c r="F103" s="477">
        <v>51912</v>
      </c>
      <c r="G103" s="477">
        <v>52462.5</v>
      </c>
      <c r="H103" s="478">
        <v>9537.7685710444202</v>
      </c>
      <c r="I103" s="479">
        <v>9537.7685710444202</v>
      </c>
      <c r="J103" s="476">
        <f t="shared" si="33"/>
        <v>0</v>
      </c>
      <c r="K103" s="476"/>
      <c r="L103" s="538">
        <f t="shared" si="38"/>
        <v>9537.7685710444202</v>
      </c>
      <c r="M103" s="539">
        <f t="shared" si="34"/>
        <v>0</v>
      </c>
      <c r="N103" s="538">
        <f t="shared" si="39"/>
        <v>9537.7685710444202</v>
      </c>
      <c r="O103" s="476">
        <f t="shared" si="35"/>
        <v>0</v>
      </c>
      <c r="P103" s="476">
        <f t="shared" si="36"/>
        <v>0</v>
      </c>
    </row>
    <row r="104" spans="1:16">
      <c r="B104" s="160" t="str">
        <f t="shared" si="37"/>
        <v/>
      </c>
      <c r="C104" s="470">
        <f>IF(D93="","-",+C103+1)</f>
        <v>2011</v>
      </c>
      <c r="D104" s="471">
        <v>51912</v>
      </c>
      <c r="E104" s="478">
        <v>1079</v>
      </c>
      <c r="F104" s="477">
        <v>50833</v>
      </c>
      <c r="G104" s="477">
        <v>51372.5</v>
      </c>
      <c r="H104" s="478">
        <v>8261.5658402233203</v>
      </c>
      <c r="I104" s="479">
        <v>8261.5658402233203</v>
      </c>
      <c r="J104" s="476">
        <f t="shared" si="33"/>
        <v>0</v>
      </c>
      <c r="K104" s="476"/>
      <c r="L104" s="538">
        <f t="shared" si="38"/>
        <v>8261.5658402233203</v>
      </c>
      <c r="M104" s="539">
        <f t="shared" si="34"/>
        <v>0</v>
      </c>
      <c r="N104" s="538">
        <f t="shared" si="39"/>
        <v>8261.5658402233203</v>
      </c>
      <c r="O104" s="476">
        <f t="shared" si="35"/>
        <v>0</v>
      </c>
      <c r="P104" s="476">
        <f t="shared" si="36"/>
        <v>0</v>
      </c>
    </row>
    <row r="105" spans="1:16">
      <c r="B105" s="160" t="str">
        <f t="shared" si="37"/>
        <v/>
      </c>
      <c r="C105" s="470">
        <f>IF(D93="","-",+C104+1)</f>
        <v>2012</v>
      </c>
      <c r="D105" s="471">
        <v>50833</v>
      </c>
      <c r="E105" s="478">
        <v>1079</v>
      </c>
      <c r="F105" s="477">
        <v>49754</v>
      </c>
      <c r="G105" s="477">
        <v>50293.5</v>
      </c>
      <c r="H105" s="478">
        <v>8313.995673781943</v>
      </c>
      <c r="I105" s="479">
        <v>8313.995673781943</v>
      </c>
      <c r="J105" s="476">
        <v>0</v>
      </c>
      <c r="K105" s="476"/>
      <c r="L105" s="538">
        <f t="shared" si="38"/>
        <v>8313.995673781943</v>
      </c>
      <c r="M105" s="539">
        <f t="shared" ref="M105:M110" si="40">IF(L105&lt;&gt;0,+H105-L105,0)</f>
        <v>0</v>
      </c>
      <c r="N105" s="538">
        <f t="shared" si="39"/>
        <v>8313.995673781943</v>
      </c>
      <c r="O105" s="476">
        <f t="shared" ref="O105:O110" si="41">IF(N105&lt;&gt;0,+I105-N105,0)</f>
        <v>0</v>
      </c>
      <c r="P105" s="476">
        <f t="shared" ref="P105:P110" si="42">+O105-M105</f>
        <v>0</v>
      </c>
    </row>
    <row r="106" spans="1:16">
      <c r="B106" s="160" t="str">
        <f t="shared" si="37"/>
        <v/>
      </c>
      <c r="C106" s="470">
        <f>IF(D93="","-",+C105+1)</f>
        <v>2013</v>
      </c>
      <c r="D106" s="471">
        <v>49754</v>
      </c>
      <c r="E106" s="478">
        <v>1079</v>
      </c>
      <c r="F106" s="477">
        <v>48675</v>
      </c>
      <c r="G106" s="477">
        <v>49214.5</v>
      </c>
      <c r="H106" s="478">
        <v>8162.9151459393179</v>
      </c>
      <c r="I106" s="479">
        <v>8162.9151459393179</v>
      </c>
      <c r="J106" s="476">
        <v>0</v>
      </c>
      <c r="K106" s="476"/>
      <c r="L106" s="538">
        <f t="shared" si="38"/>
        <v>8162.9151459393179</v>
      </c>
      <c r="M106" s="539">
        <f t="shared" si="40"/>
        <v>0</v>
      </c>
      <c r="N106" s="538">
        <f t="shared" si="39"/>
        <v>8162.9151459393179</v>
      </c>
      <c r="O106" s="476">
        <f t="shared" si="41"/>
        <v>0</v>
      </c>
      <c r="P106" s="476">
        <f t="shared" si="42"/>
        <v>0</v>
      </c>
    </row>
    <row r="107" spans="1:16">
      <c r="B107" s="160" t="str">
        <f t="shared" si="37"/>
        <v/>
      </c>
      <c r="C107" s="470">
        <f>IF(D93="","-",+C106+1)</f>
        <v>2014</v>
      </c>
      <c r="D107" s="471">
        <v>48675</v>
      </c>
      <c r="E107" s="478">
        <v>1079</v>
      </c>
      <c r="F107" s="477">
        <v>47596</v>
      </c>
      <c r="G107" s="477">
        <v>48135.5</v>
      </c>
      <c r="H107" s="478">
        <v>7846.6545337569178</v>
      </c>
      <c r="I107" s="479">
        <v>7846.6545337569178</v>
      </c>
      <c r="J107" s="476">
        <v>0</v>
      </c>
      <c r="K107" s="476"/>
      <c r="L107" s="538">
        <f t="shared" si="38"/>
        <v>7846.6545337569178</v>
      </c>
      <c r="M107" s="539">
        <f t="shared" si="40"/>
        <v>0</v>
      </c>
      <c r="N107" s="538">
        <f t="shared" si="39"/>
        <v>7846.6545337569178</v>
      </c>
      <c r="O107" s="476">
        <f t="shared" si="41"/>
        <v>0</v>
      </c>
      <c r="P107" s="476">
        <f t="shared" si="42"/>
        <v>0</v>
      </c>
    </row>
    <row r="108" spans="1:16">
      <c r="B108" s="160" t="str">
        <f t="shared" si="37"/>
        <v/>
      </c>
      <c r="C108" s="470">
        <f>IF(D93="","-",+C107+1)</f>
        <v>2015</v>
      </c>
      <c r="D108" s="471">
        <v>47596</v>
      </c>
      <c r="E108" s="478">
        <v>1079</v>
      </c>
      <c r="F108" s="477">
        <v>46517</v>
      </c>
      <c r="G108" s="477">
        <v>47056.5</v>
      </c>
      <c r="H108" s="478">
        <v>7499.4810720950254</v>
      </c>
      <c r="I108" s="479">
        <v>7499.4810720950254</v>
      </c>
      <c r="J108" s="476">
        <f t="shared" si="33"/>
        <v>0</v>
      </c>
      <c r="K108" s="476"/>
      <c r="L108" s="538">
        <f t="shared" ref="L108:L113" si="43">H108</f>
        <v>7499.4810720950254</v>
      </c>
      <c r="M108" s="539">
        <f t="shared" si="40"/>
        <v>0</v>
      </c>
      <c r="N108" s="538">
        <f t="shared" ref="N108:N113" si="44">I108</f>
        <v>7499.4810720950254</v>
      </c>
      <c r="O108" s="476">
        <f t="shared" si="41"/>
        <v>0</v>
      </c>
      <c r="P108" s="476">
        <f t="shared" si="42"/>
        <v>0</v>
      </c>
    </row>
    <row r="109" spans="1:16">
      <c r="B109" s="160" t="str">
        <f t="shared" si="37"/>
        <v/>
      </c>
      <c r="C109" s="470">
        <f>IF(D93="","-",+C108+1)</f>
        <v>2016</v>
      </c>
      <c r="D109" s="471">
        <v>46517</v>
      </c>
      <c r="E109" s="478">
        <v>1220</v>
      </c>
      <c r="F109" s="477">
        <v>45297</v>
      </c>
      <c r="G109" s="477">
        <v>45907</v>
      </c>
      <c r="H109" s="478">
        <v>7138.135283574793</v>
      </c>
      <c r="I109" s="479">
        <v>7138.135283574793</v>
      </c>
      <c r="J109" s="476">
        <f t="shared" si="33"/>
        <v>0</v>
      </c>
      <c r="K109" s="476"/>
      <c r="L109" s="538">
        <f t="shared" si="43"/>
        <v>7138.135283574793</v>
      </c>
      <c r="M109" s="539">
        <f t="shared" si="40"/>
        <v>0</v>
      </c>
      <c r="N109" s="538">
        <f t="shared" si="44"/>
        <v>7138.135283574793</v>
      </c>
      <c r="O109" s="476">
        <f t="shared" si="41"/>
        <v>0</v>
      </c>
      <c r="P109" s="476">
        <f t="shared" si="42"/>
        <v>0</v>
      </c>
    </row>
    <row r="110" spans="1:16">
      <c r="B110" s="160" t="str">
        <f t="shared" si="37"/>
        <v/>
      </c>
      <c r="C110" s="470">
        <f>IF(D93="","-",+C109+1)</f>
        <v>2017</v>
      </c>
      <c r="D110" s="471">
        <v>45297</v>
      </c>
      <c r="E110" s="478">
        <v>1220</v>
      </c>
      <c r="F110" s="477">
        <v>44077</v>
      </c>
      <c r="G110" s="477">
        <v>44687</v>
      </c>
      <c r="H110" s="478">
        <v>6888.6586283105316</v>
      </c>
      <c r="I110" s="479">
        <v>6888.6586283105316</v>
      </c>
      <c r="J110" s="476">
        <f t="shared" si="33"/>
        <v>0</v>
      </c>
      <c r="K110" s="476"/>
      <c r="L110" s="538">
        <f t="shared" si="43"/>
        <v>6888.6586283105316</v>
      </c>
      <c r="M110" s="539">
        <f t="shared" si="40"/>
        <v>0</v>
      </c>
      <c r="N110" s="538">
        <f t="shared" si="44"/>
        <v>6888.6586283105316</v>
      </c>
      <c r="O110" s="476">
        <f t="shared" si="41"/>
        <v>0</v>
      </c>
      <c r="P110" s="476">
        <f t="shared" si="42"/>
        <v>0</v>
      </c>
    </row>
    <row r="111" spans="1:16">
      <c r="B111" s="160" t="str">
        <f t="shared" si="37"/>
        <v/>
      </c>
      <c r="C111" s="470">
        <f>IF(D93="","-",+C110+1)</f>
        <v>2018</v>
      </c>
      <c r="D111" s="471">
        <v>44077</v>
      </c>
      <c r="E111" s="478">
        <v>1305</v>
      </c>
      <c r="F111" s="477">
        <v>42772</v>
      </c>
      <c r="G111" s="477">
        <v>43424.5</v>
      </c>
      <c r="H111" s="478">
        <v>5766.2406216754998</v>
      </c>
      <c r="I111" s="479">
        <v>5766.2406216754998</v>
      </c>
      <c r="J111" s="476">
        <f t="shared" si="33"/>
        <v>0</v>
      </c>
      <c r="K111" s="476"/>
      <c r="L111" s="538">
        <f t="shared" si="43"/>
        <v>5766.2406216754998</v>
      </c>
      <c r="M111" s="539">
        <f t="shared" ref="M111" si="45">IF(L111&lt;&gt;0,+H111-L111,0)</f>
        <v>0</v>
      </c>
      <c r="N111" s="538">
        <f t="shared" si="44"/>
        <v>5766.2406216754998</v>
      </c>
      <c r="O111" s="476">
        <f t="shared" ref="O111" si="46">IF(N111&lt;&gt;0,+I111-N111,0)</f>
        <v>0</v>
      </c>
      <c r="P111" s="476">
        <f t="shared" ref="P111" si="47">+O111-M111</f>
        <v>0</v>
      </c>
    </row>
    <row r="112" spans="1:16">
      <c r="B112" s="160" t="str">
        <f t="shared" si="37"/>
        <v/>
      </c>
      <c r="C112" s="470">
        <f>IF(D93="","-",+C111+1)</f>
        <v>2019</v>
      </c>
      <c r="D112" s="471">
        <v>42772</v>
      </c>
      <c r="E112" s="478">
        <v>1369</v>
      </c>
      <c r="F112" s="477">
        <v>41403</v>
      </c>
      <c r="G112" s="477">
        <v>42087.5</v>
      </c>
      <c r="H112" s="478">
        <v>5708.8115726685282</v>
      </c>
      <c r="I112" s="479">
        <v>5708.8115726685282</v>
      </c>
      <c r="J112" s="476">
        <f t="shared" si="33"/>
        <v>0</v>
      </c>
      <c r="K112" s="476"/>
      <c r="L112" s="538">
        <f t="shared" si="43"/>
        <v>5708.8115726685282</v>
      </c>
      <c r="M112" s="539">
        <f t="shared" ref="M112:M113" si="48">IF(L112&lt;&gt;0,+H112-L112,0)</f>
        <v>0</v>
      </c>
      <c r="N112" s="538">
        <f t="shared" si="44"/>
        <v>5708.8115726685282</v>
      </c>
      <c r="O112" s="476">
        <f t="shared" si="35"/>
        <v>0</v>
      </c>
      <c r="P112" s="476">
        <f t="shared" si="36"/>
        <v>0</v>
      </c>
    </row>
    <row r="113" spans="2:16">
      <c r="B113" s="160" t="str">
        <f t="shared" si="37"/>
        <v/>
      </c>
      <c r="C113" s="470">
        <f>IF(D93="","-",+C112+1)</f>
        <v>2020</v>
      </c>
      <c r="D113" s="471">
        <v>41403</v>
      </c>
      <c r="E113" s="478">
        <v>1305</v>
      </c>
      <c r="F113" s="477">
        <v>40098</v>
      </c>
      <c r="G113" s="477">
        <v>40750.5</v>
      </c>
      <c r="H113" s="478">
        <v>6003.4206157380368</v>
      </c>
      <c r="I113" s="479">
        <v>6003.4206157380368</v>
      </c>
      <c r="J113" s="476">
        <f t="shared" si="33"/>
        <v>0</v>
      </c>
      <c r="K113" s="476"/>
      <c r="L113" s="538">
        <f t="shared" si="43"/>
        <v>6003.4206157380368</v>
      </c>
      <c r="M113" s="539">
        <f t="shared" si="48"/>
        <v>0</v>
      </c>
      <c r="N113" s="538">
        <f t="shared" si="44"/>
        <v>6003.4206157380368</v>
      </c>
      <c r="O113" s="476">
        <f t="shared" si="35"/>
        <v>0</v>
      </c>
      <c r="P113" s="476">
        <f t="shared" si="36"/>
        <v>0</v>
      </c>
    </row>
    <row r="114" spans="2:16">
      <c r="B114" s="160" t="str">
        <f t="shared" si="37"/>
        <v/>
      </c>
      <c r="C114" s="470">
        <f>IF(D93="","-",+C113+1)</f>
        <v>2021</v>
      </c>
      <c r="D114" s="471">
        <v>40098</v>
      </c>
      <c r="E114" s="478">
        <v>1369</v>
      </c>
      <c r="F114" s="477">
        <v>38729</v>
      </c>
      <c r="G114" s="477">
        <v>39413.5</v>
      </c>
      <c r="H114" s="478">
        <v>5853.9722481455983</v>
      </c>
      <c r="I114" s="479">
        <v>5853.9722481455983</v>
      </c>
      <c r="J114" s="476">
        <f t="shared" si="33"/>
        <v>0</v>
      </c>
      <c r="K114" s="476"/>
      <c r="L114" s="538">
        <f t="shared" ref="L114" si="49">H114</f>
        <v>5853.9722481455983</v>
      </c>
      <c r="M114" s="539">
        <f t="shared" ref="M114" si="50">IF(L114&lt;&gt;0,+H114-L114,0)</f>
        <v>0</v>
      </c>
      <c r="N114" s="538">
        <f t="shared" ref="N114" si="51">I114</f>
        <v>5853.9722481455983</v>
      </c>
      <c r="O114" s="476">
        <f t="shared" ref="O114" si="52">IF(N114&lt;&gt;0,+I114-N114,0)</f>
        <v>0</v>
      </c>
      <c r="P114" s="476">
        <f t="shared" ref="P114" si="53">+O114-M114</f>
        <v>0</v>
      </c>
    </row>
    <row r="115" spans="2:16">
      <c r="B115" s="160" t="str">
        <f t="shared" si="37"/>
        <v/>
      </c>
      <c r="C115" s="631">
        <f>IF(D93="","-",+C114+1)</f>
        <v>2022</v>
      </c>
      <c r="D115" s="345">
        <v>38729</v>
      </c>
      <c r="E115" s="484">
        <v>1439</v>
      </c>
      <c r="F115" s="483">
        <v>37290</v>
      </c>
      <c r="G115" s="483">
        <v>38009.5</v>
      </c>
      <c r="H115" s="486">
        <v>5626.9875444770105</v>
      </c>
      <c r="I115" s="540">
        <v>5626.9875444770105</v>
      </c>
      <c r="J115" s="476">
        <f t="shared" si="33"/>
        <v>0</v>
      </c>
      <c r="K115" s="476"/>
      <c r="L115" s="485"/>
      <c r="M115" s="476">
        <f t="shared" si="34"/>
        <v>0</v>
      </c>
      <c r="N115" s="485"/>
      <c r="O115" s="476">
        <f t="shared" si="35"/>
        <v>0</v>
      </c>
      <c r="P115" s="476">
        <f t="shared" si="36"/>
        <v>0</v>
      </c>
    </row>
    <row r="116" spans="2:16">
      <c r="B116" s="160" t="str">
        <f t="shared" si="37"/>
        <v/>
      </c>
      <c r="C116" s="470">
        <f>IF(D93="","-",+C115+1)</f>
        <v>2023</v>
      </c>
      <c r="D116" s="345">
        <f>IF(F115+SUM(E$99:E115)=D$92,F115,D$92-SUM(E$99:E115))</f>
        <v>37290</v>
      </c>
      <c r="E116" s="484">
        <f>IF(+J96&lt;F115,J96,D116)</f>
        <v>1369</v>
      </c>
      <c r="F116" s="483">
        <f t="shared" ref="F116:F130" si="54">+D116-E116</f>
        <v>35921</v>
      </c>
      <c r="G116" s="483">
        <f t="shared" ref="G116:G130" si="55">+(F116+D116)/2</f>
        <v>36605.5</v>
      </c>
      <c r="H116" s="486">
        <f t="shared" ref="H116:H154" si="56">+J$94*G116+E116</f>
        <v>5534.4420853132488</v>
      </c>
      <c r="I116" s="540">
        <f t="shared" ref="I116:I154" si="57">+J$95*G116+E116</f>
        <v>5534.4420853132488</v>
      </c>
      <c r="J116" s="476">
        <f t="shared" si="33"/>
        <v>0</v>
      </c>
      <c r="K116" s="476"/>
      <c r="L116" s="485"/>
      <c r="M116" s="476">
        <f t="shared" si="34"/>
        <v>0</v>
      </c>
      <c r="N116" s="485"/>
      <c r="O116" s="476">
        <f t="shared" si="35"/>
        <v>0</v>
      </c>
      <c r="P116" s="476">
        <f t="shared" si="36"/>
        <v>0</v>
      </c>
    </row>
    <row r="117" spans="2:16">
      <c r="B117" s="160" t="str">
        <f t="shared" si="37"/>
        <v/>
      </c>
      <c r="C117" s="470">
        <f>IF(D93="","-",+C116+1)</f>
        <v>2024</v>
      </c>
      <c r="D117" s="345">
        <f>IF(F116+SUM(E$99:E116)=D$92,F116,D$92-SUM(E$99:E116))</f>
        <v>35921</v>
      </c>
      <c r="E117" s="484">
        <f>IF(+J96&lt;F116,J96,D117)</f>
        <v>1369</v>
      </c>
      <c r="F117" s="483">
        <f t="shared" si="54"/>
        <v>34552</v>
      </c>
      <c r="G117" s="483">
        <f t="shared" si="55"/>
        <v>35236.5</v>
      </c>
      <c r="H117" s="486">
        <f t="shared" si="56"/>
        <v>5378.6597516531747</v>
      </c>
      <c r="I117" s="540">
        <f t="shared" si="57"/>
        <v>5378.6597516531747</v>
      </c>
      <c r="J117" s="476">
        <f t="shared" si="33"/>
        <v>0</v>
      </c>
      <c r="K117" s="476"/>
      <c r="L117" s="485"/>
      <c r="M117" s="476">
        <f t="shared" si="34"/>
        <v>0</v>
      </c>
      <c r="N117" s="485"/>
      <c r="O117" s="476">
        <f t="shared" si="35"/>
        <v>0</v>
      </c>
      <c r="P117" s="476">
        <f t="shared" si="36"/>
        <v>0</v>
      </c>
    </row>
    <row r="118" spans="2:16">
      <c r="B118" s="160" t="str">
        <f t="shared" si="37"/>
        <v/>
      </c>
      <c r="C118" s="470">
        <f>IF(D93="","-",+C117+1)</f>
        <v>2025</v>
      </c>
      <c r="D118" s="345">
        <f>IF(F117+SUM(E$99:E117)=D$92,F117,D$92-SUM(E$99:E117))</f>
        <v>34552</v>
      </c>
      <c r="E118" s="484">
        <f>IF(+J96&lt;F117,J96,D118)</f>
        <v>1369</v>
      </c>
      <c r="F118" s="483">
        <f t="shared" si="54"/>
        <v>33183</v>
      </c>
      <c r="G118" s="483">
        <f t="shared" si="55"/>
        <v>33867.5</v>
      </c>
      <c r="H118" s="486">
        <f t="shared" si="56"/>
        <v>5222.8774179931006</v>
      </c>
      <c r="I118" s="540">
        <f t="shared" si="57"/>
        <v>5222.8774179931006</v>
      </c>
      <c r="J118" s="476">
        <f t="shared" si="33"/>
        <v>0</v>
      </c>
      <c r="K118" s="476"/>
      <c r="L118" s="485"/>
      <c r="M118" s="476">
        <f t="shared" si="34"/>
        <v>0</v>
      </c>
      <c r="N118" s="485"/>
      <c r="O118" s="476">
        <f t="shared" si="35"/>
        <v>0</v>
      </c>
      <c r="P118" s="476">
        <f t="shared" si="36"/>
        <v>0</v>
      </c>
    </row>
    <row r="119" spans="2:16">
      <c r="B119" s="160" t="str">
        <f t="shared" si="37"/>
        <v/>
      </c>
      <c r="C119" s="470">
        <f>IF(D93="","-",+C118+1)</f>
        <v>2026</v>
      </c>
      <c r="D119" s="345">
        <f>IF(F118+SUM(E$99:E118)=D$92,F118,D$92-SUM(E$99:E118))</f>
        <v>33183</v>
      </c>
      <c r="E119" s="484">
        <f>IF(+J96&lt;F118,J96,D119)</f>
        <v>1369</v>
      </c>
      <c r="F119" s="483">
        <f t="shared" si="54"/>
        <v>31814</v>
      </c>
      <c r="G119" s="483">
        <f t="shared" si="55"/>
        <v>32498.5</v>
      </c>
      <c r="H119" s="486">
        <f t="shared" si="56"/>
        <v>5067.0950843330265</v>
      </c>
      <c r="I119" s="540">
        <f t="shared" si="57"/>
        <v>5067.0950843330265</v>
      </c>
      <c r="J119" s="476">
        <f t="shared" si="33"/>
        <v>0</v>
      </c>
      <c r="K119" s="476"/>
      <c r="L119" s="485"/>
      <c r="M119" s="476">
        <f t="shared" si="34"/>
        <v>0</v>
      </c>
      <c r="N119" s="485"/>
      <c r="O119" s="476">
        <f t="shared" si="35"/>
        <v>0</v>
      </c>
      <c r="P119" s="476">
        <f t="shared" si="36"/>
        <v>0</v>
      </c>
    </row>
    <row r="120" spans="2:16">
      <c r="B120" s="160" t="str">
        <f t="shared" si="37"/>
        <v/>
      </c>
      <c r="C120" s="470">
        <f>IF(D93="","-",+C119+1)</f>
        <v>2027</v>
      </c>
      <c r="D120" s="345">
        <f>IF(F119+SUM(E$99:E119)=D$92,F119,D$92-SUM(E$99:E119))</f>
        <v>31814</v>
      </c>
      <c r="E120" s="484">
        <f>IF(+J96&lt;F119,J96,D120)</f>
        <v>1369</v>
      </c>
      <c r="F120" s="483">
        <f t="shared" si="54"/>
        <v>30445</v>
      </c>
      <c r="G120" s="483">
        <f t="shared" si="55"/>
        <v>31129.5</v>
      </c>
      <c r="H120" s="486">
        <f t="shared" si="56"/>
        <v>4911.3127506729525</v>
      </c>
      <c r="I120" s="540">
        <f t="shared" si="57"/>
        <v>4911.3127506729525</v>
      </c>
      <c r="J120" s="476">
        <f t="shared" si="33"/>
        <v>0</v>
      </c>
      <c r="K120" s="476"/>
      <c r="L120" s="485"/>
      <c r="M120" s="476">
        <f t="shared" si="34"/>
        <v>0</v>
      </c>
      <c r="N120" s="485"/>
      <c r="O120" s="476">
        <f t="shared" si="35"/>
        <v>0</v>
      </c>
      <c r="P120" s="476">
        <f t="shared" si="36"/>
        <v>0</v>
      </c>
    </row>
    <row r="121" spans="2:16">
      <c r="B121" s="160" t="str">
        <f t="shared" si="37"/>
        <v/>
      </c>
      <c r="C121" s="470">
        <f>IF(D93="","-",+C120+1)</f>
        <v>2028</v>
      </c>
      <c r="D121" s="345">
        <f>IF(F120+SUM(E$99:E120)=D$92,F120,D$92-SUM(E$99:E120))</f>
        <v>30445</v>
      </c>
      <c r="E121" s="484">
        <f>IF(+J96&lt;F120,J96,D121)</f>
        <v>1369</v>
      </c>
      <c r="F121" s="483">
        <f t="shared" si="54"/>
        <v>29076</v>
      </c>
      <c r="G121" s="483">
        <f t="shared" si="55"/>
        <v>29760.5</v>
      </c>
      <c r="H121" s="486">
        <f t="shared" si="56"/>
        <v>4755.5304170128784</v>
      </c>
      <c r="I121" s="540">
        <f t="shared" si="57"/>
        <v>4755.5304170128784</v>
      </c>
      <c r="J121" s="476">
        <f t="shared" si="33"/>
        <v>0</v>
      </c>
      <c r="K121" s="476"/>
      <c r="L121" s="485"/>
      <c r="M121" s="476">
        <f t="shared" si="34"/>
        <v>0</v>
      </c>
      <c r="N121" s="485"/>
      <c r="O121" s="476">
        <f t="shared" si="35"/>
        <v>0</v>
      </c>
      <c r="P121" s="476">
        <f t="shared" si="36"/>
        <v>0</v>
      </c>
    </row>
    <row r="122" spans="2:16">
      <c r="B122" s="160" t="str">
        <f t="shared" si="37"/>
        <v/>
      </c>
      <c r="C122" s="470">
        <f>IF(D93="","-",+C121+1)</f>
        <v>2029</v>
      </c>
      <c r="D122" s="345">
        <f>IF(F121+SUM(E$99:E121)=D$92,F121,D$92-SUM(E$99:E121))</f>
        <v>29076</v>
      </c>
      <c r="E122" s="484">
        <f>IF(+J96&lt;F121,J96,D122)</f>
        <v>1369</v>
      </c>
      <c r="F122" s="483">
        <f t="shared" si="54"/>
        <v>27707</v>
      </c>
      <c r="G122" s="483">
        <f t="shared" si="55"/>
        <v>28391.5</v>
      </c>
      <c r="H122" s="486">
        <f t="shared" si="56"/>
        <v>4599.7480833528043</v>
      </c>
      <c r="I122" s="540">
        <f t="shared" si="57"/>
        <v>4599.7480833528043</v>
      </c>
      <c r="J122" s="476">
        <f t="shared" si="33"/>
        <v>0</v>
      </c>
      <c r="K122" s="476"/>
      <c r="L122" s="485"/>
      <c r="M122" s="476">
        <f t="shared" si="34"/>
        <v>0</v>
      </c>
      <c r="N122" s="485"/>
      <c r="O122" s="476">
        <f t="shared" si="35"/>
        <v>0</v>
      </c>
      <c r="P122" s="476">
        <f t="shared" si="36"/>
        <v>0</v>
      </c>
    </row>
    <row r="123" spans="2:16">
      <c r="B123" s="160" t="str">
        <f t="shared" si="37"/>
        <v/>
      </c>
      <c r="C123" s="470">
        <f>IF(D93="","-",+C122+1)</f>
        <v>2030</v>
      </c>
      <c r="D123" s="345">
        <f>IF(F122+SUM(E$99:E122)=D$92,F122,D$92-SUM(E$99:E122))</f>
        <v>27707</v>
      </c>
      <c r="E123" s="484">
        <f>IF(+J96&lt;F122,J96,D123)</f>
        <v>1369</v>
      </c>
      <c r="F123" s="483">
        <f t="shared" si="54"/>
        <v>26338</v>
      </c>
      <c r="G123" s="483">
        <f t="shared" si="55"/>
        <v>27022.5</v>
      </c>
      <c r="H123" s="486">
        <f t="shared" si="56"/>
        <v>4443.9657496927302</v>
      </c>
      <c r="I123" s="540">
        <f t="shared" si="57"/>
        <v>4443.9657496927302</v>
      </c>
      <c r="J123" s="476">
        <f t="shared" si="33"/>
        <v>0</v>
      </c>
      <c r="K123" s="476"/>
      <c r="L123" s="485"/>
      <c r="M123" s="476">
        <f t="shared" si="34"/>
        <v>0</v>
      </c>
      <c r="N123" s="485"/>
      <c r="O123" s="476">
        <f t="shared" si="35"/>
        <v>0</v>
      </c>
      <c r="P123" s="476">
        <f t="shared" si="36"/>
        <v>0</v>
      </c>
    </row>
    <row r="124" spans="2:16">
      <c r="B124" s="160" t="str">
        <f t="shared" si="37"/>
        <v/>
      </c>
      <c r="C124" s="470">
        <f>IF(D93="","-",+C123+1)</f>
        <v>2031</v>
      </c>
      <c r="D124" s="345">
        <f>IF(F123+SUM(E$99:E123)=D$92,F123,D$92-SUM(E$99:E123))</f>
        <v>26338</v>
      </c>
      <c r="E124" s="484">
        <f>IF(+J96&lt;F123,J96,D124)</f>
        <v>1369</v>
      </c>
      <c r="F124" s="483">
        <f t="shared" si="54"/>
        <v>24969</v>
      </c>
      <c r="G124" s="483">
        <f t="shared" si="55"/>
        <v>25653.5</v>
      </c>
      <c r="H124" s="486">
        <f t="shared" si="56"/>
        <v>4288.1834160326562</v>
      </c>
      <c r="I124" s="540">
        <f t="shared" si="57"/>
        <v>4288.1834160326562</v>
      </c>
      <c r="J124" s="476">
        <f t="shared" si="33"/>
        <v>0</v>
      </c>
      <c r="K124" s="476"/>
      <c r="L124" s="485"/>
      <c r="M124" s="476">
        <f t="shared" si="34"/>
        <v>0</v>
      </c>
      <c r="N124" s="485"/>
      <c r="O124" s="476">
        <f t="shared" si="35"/>
        <v>0</v>
      </c>
      <c r="P124" s="476">
        <f t="shared" si="36"/>
        <v>0</v>
      </c>
    </row>
    <row r="125" spans="2:16">
      <c r="B125" s="160" t="str">
        <f t="shared" si="37"/>
        <v/>
      </c>
      <c r="C125" s="470">
        <f>IF(D93="","-",+C124+1)</f>
        <v>2032</v>
      </c>
      <c r="D125" s="345">
        <f>IF(F124+SUM(E$99:E124)=D$92,F124,D$92-SUM(E$99:E124))</f>
        <v>24969</v>
      </c>
      <c r="E125" s="484">
        <f>IF(+J96&lt;F124,J96,D125)</f>
        <v>1369</v>
      </c>
      <c r="F125" s="483">
        <f t="shared" si="54"/>
        <v>23600</v>
      </c>
      <c r="G125" s="483">
        <f t="shared" si="55"/>
        <v>24284.5</v>
      </c>
      <c r="H125" s="486">
        <f t="shared" si="56"/>
        <v>4132.401082372583</v>
      </c>
      <c r="I125" s="540">
        <f t="shared" si="57"/>
        <v>4132.401082372583</v>
      </c>
      <c r="J125" s="476">
        <f t="shared" si="33"/>
        <v>0</v>
      </c>
      <c r="K125" s="476"/>
      <c r="L125" s="485"/>
      <c r="M125" s="476">
        <f t="shared" si="34"/>
        <v>0</v>
      </c>
      <c r="N125" s="485"/>
      <c r="O125" s="476">
        <f t="shared" si="35"/>
        <v>0</v>
      </c>
      <c r="P125" s="476">
        <f t="shared" si="36"/>
        <v>0</v>
      </c>
    </row>
    <row r="126" spans="2:16">
      <c r="B126" s="160" t="str">
        <f t="shared" si="37"/>
        <v/>
      </c>
      <c r="C126" s="470">
        <f>IF(D93="","-",+C125+1)</f>
        <v>2033</v>
      </c>
      <c r="D126" s="345">
        <f>IF(F125+SUM(E$99:E125)=D$92,F125,D$92-SUM(E$99:E125))</f>
        <v>23600</v>
      </c>
      <c r="E126" s="484">
        <f>IF(+J96&lt;F125,J96,D126)</f>
        <v>1369</v>
      </c>
      <c r="F126" s="483">
        <f t="shared" si="54"/>
        <v>22231</v>
      </c>
      <c r="G126" s="483">
        <f t="shared" si="55"/>
        <v>22915.5</v>
      </c>
      <c r="H126" s="486">
        <f t="shared" si="56"/>
        <v>3976.6187487125089</v>
      </c>
      <c r="I126" s="540">
        <f t="shared" si="57"/>
        <v>3976.6187487125089</v>
      </c>
      <c r="J126" s="476">
        <f t="shared" si="33"/>
        <v>0</v>
      </c>
      <c r="K126" s="476"/>
      <c r="L126" s="485"/>
      <c r="M126" s="476">
        <f t="shared" si="34"/>
        <v>0</v>
      </c>
      <c r="N126" s="485"/>
      <c r="O126" s="476">
        <f t="shared" si="35"/>
        <v>0</v>
      </c>
      <c r="P126" s="476">
        <f t="shared" si="36"/>
        <v>0</v>
      </c>
    </row>
    <row r="127" spans="2:16">
      <c r="B127" s="160" t="str">
        <f t="shared" si="37"/>
        <v/>
      </c>
      <c r="C127" s="470">
        <f>IF(D93="","-",+C126+1)</f>
        <v>2034</v>
      </c>
      <c r="D127" s="345">
        <f>IF(F126+SUM(E$99:E126)=D$92,F126,D$92-SUM(E$99:E126))</f>
        <v>22231</v>
      </c>
      <c r="E127" s="484">
        <f>IF(+J96&lt;F126,J96,D127)</f>
        <v>1369</v>
      </c>
      <c r="F127" s="483">
        <f t="shared" si="54"/>
        <v>20862</v>
      </c>
      <c r="G127" s="483">
        <f t="shared" si="55"/>
        <v>21546.5</v>
      </c>
      <c r="H127" s="486">
        <f t="shared" si="56"/>
        <v>3820.8364150524349</v>
      </c>
      <c r="I127" s="540">
        <f t="shared" si="57"/>
        <v>3820.8364150524349</v>
      </c>
      <c r="J127" s="476">
        <f t="shared" si="33"/>
        <v>0</v>
      </c>
      <c r="K127" s="476"/>
      <c r="L127" s="485"/>
      <c r="M127" s="476">
        <f t="shared" si="34"/>
        <v>0</v>
      </c>
      <c r="N127" s="485"/>
      <c r="O127" s="476">
        <f t="shared" si="35"/>
        <v>0</v>
      </c>
      <c r="P127" s="476">
        <f t="shared" si="36"/>
        <v>0</v>
      </c>
    </row>
    <row r="128" spans="2:16">
      <c r="B128" s="160" t="str">
        <f t="shared" si="37"/>
        <v/>
      </c>
      <c r="C128" s="470">
        <f>IF(D93="","-",+C127+1)</f>
        <v>2035</v>
      </c>
      <c r="D128" s="345">
        <f>IF(F127+SUM(E$99:E127)=D$92,F127,D$92-SUM(E$99:E127))</f>
        <v>20862</v>
      </c>
      <c r="E128" s="484">
        <f>IF(+J96&lt;F127,J96,D128)</f>
        <v>1369</v>
      </c>
      <c r="F128" s="483">
        <f t="shared" si="54"/>
        <v>19493</v>
      </c>
      <c r="G128" s="483">
        <f t="shared" si="55"/>
        <v>20177.5</v>
      </c>
      <c r="H128" s="486">
        <f t="shared" si="56"/>
        <v>3665.0540813923608</v>
      </c>
      <c r="I128" s="540">
        <f t="shared" si="57"/>
        <v>3665.0540813923608</v>
      </c>
      <c r="J128" s="476">
        <f t="shared" si="33"/>
        <v>0</v>
      </c>
      <c r="K128" s="476"/>
      <c r="L128" s="485"/>
      <c r="M128" s="476">
        <f t="shared" si="34"/>
        <v>0</v>
      </c>
      <c r="N128" s="485"/>
      <c r="O128" s="476">
        <f t="shared" si="35"/>
        <v>0</v>
      </c>
      <c r="P128" s="476">
        <f t="shared" si="36"/>
        <v>0</v>
      </c>
    </row>
    <row r="129" spans="2:16">
      <c r="B129" s="160" t="str">
        <f t="shared" si="37"/>
        <v/>
      </c>
      <c r="C129" s="470">
        <f>IF(D93="","-",+C128+1)</f>
        <v>2036</v>
      </c>
      <c r="D129" s="345">
        <f>IF(F128+SUM(E$99:E128)=D$92,F128,D$92-SUM(E$99:E128))</f>
        <v>19493</v>
      </c>
      <c r="E129" s="484">
        <f>IF(+J96&lt;F128,J96,D129)</f>
        <v>1369</v>
      </c>
      <c r="F129" s="483">
        <f t="shared" si="54"/>
        <v>18124</v>
      </c>
      <c r="G129" s="483">
        <f t="shared" si="55"/>
        <v>18808.5</v>
      </c>
      <c r="H129" s="486">
        <f t="shared" si="56"/>
        <v>3509.2717477322872</v>
      </c>
      <c r="I129" s="540">
        <f t="shared" si="57"/>
        <v>3509.2717477322872</v>
      </c>
      <c r="J129" s="476">
        <f t="shared" si="33"/>
        <v>0</v>
      </c>
      <c r="K129" s="476"/>
      <c r="L129" s="485"/>
      <c r="M129" s="476">
        <f t="shared" si="34"/>
        <v>0</v>
      </c>
      <c r="N129" s="485"/>
      <c r="O129" s="476">
        <f t="shared" si="35"/>
        <v>0</v>
      </c>
      <c r="P129" s="476">
        <f t="shared" si="36"/>
        <v>0</v>
      </c>
    </row>
    <row r="130" spans="2:16">
      <c r="B130" s="160" t="str">
        <f t="shared" si="37"/>
        <v/>
      </c>
      <c r="C130" s="470">
        <f>IF(D93="","-",+C129+1)</f>
        <v>2037</v>
      </c>
      <c r="D130" s="345">
        <f>IF(F129+SUM(E$99:E129)=D$92,F129,D$92-SUM(E$99:E129))</f>
        <v>18124</v>
      </c>
      <c r="E130" s="484">
        <f>IF(+J96&lt;F129,J96,D130)</f>
        <v>1369</v>
      </c>
      <c r="F130" s="483">
        <f t="shared" si="54"/>
        <v>16755</v>
      </c>
      <c r="G130" s="483">
        <f t="shared" si="55"/>
        <v>17439.5</v>
      </c>
      <c r="H130" s="486">
        <f t="shared" si="56"/>
        <v>3353.4894140722131</v>
      </c>
      <c r="I130" s="540">
        <f t="shared" si="57"/>
        <v>3353.4894140722131</v>
      </c>
      <c r="J130" s="476">
        <f t="shared" si="33"/>
        <v>0</v>
      </c>
      <c r="K130" s="476"/>
      <c r="L130" s="485"/>
      <c r="M130" s="476">
        <f t="shared" si="34"/>
        <v>0</v>
      </c>
      <c r="N130" s="485"/>
      <c r="O130" s="476">
        <f t="shared" si="35"/>
        <v>0</v>
      </c>
      <c r="P130" s="476">
        <f t="shared" si="36"/>
        <v>0</v>
      </c>
    </row>
    <row r="131" spans="2:16">
      <c r="B131" s="160" t="str">
        <f t="shared" si="37"/>
        <v/>
      </c>
      <c r="C131" s="470">
        <f>IF(D93="","-",+C130+1)</f>
        <v>2038</v>
      </c>
      <c r="D131" s="345">
        <f>IF(F130+SUM(E$99:E130)=D$92,F130,D$92-SUM(E$99:E130))</f>
        <v>16755</v>
      </c>
      <c r="E131" s="484">
        <f>IF(+J96&lt;F130,J96,D131)</f>
        <v>1369</v>
      </c>
      <c r="F131" s="483">
        <f t="shared" ref="F131:F154" si="58">+D131-E131</f>
        <v>15386</v>
      </c>
      <c r="G131" s="483">
        <f t="shared" ref="G131:G154" si="59">+(F131+D131)/2</f>
        <v>16070.5</v>
      </c>
      <c r="H131" s="486">
        <f t="shared" si="56"/>
        <v>3197.707080412139</v>
      </c>
      <c r="I131" s="540">
        <f t="shared" si="57"/>
        <v>3197.707080412139</v>
      </c>
      <c r="J131" s="476">
        <f t="shared" ref="J131:J154" si="60">+I131-H131</f>
        <v>0</v>
      </c>
      <c r="K131" s="476"/>
      <c r="L131" s="485"/>
      <c r="M131" s="476">
        <f t="shared" ref="M131:M154" si="61">IF(L131&lt;&gt;0,+H131-L131,0)</f>
        <v>0</v>
      </c>
      <c r="N131" s="485"/>
      <c r="O131" s="476">
        <f t="shared" ref="O131:O154" si="62">IF(N131&lt;&gt;0,+I131-N131,0)</f>
        <v>0</v>
      </c>
      <c r="P131" s="476">
        <f t="shared" ref="P131:P154" si="63">+O131-M131</f>
        <v>0</v>
      </c>
    </row>
    <row r="132" spans="2:16">
      <c r="B132" s="160" t="str">
        <f t="shared" si="37"/>
        <v/>
      </c>
      <c r="C132" s="470">
        <f>IF(D93="","-",+C131+1)</f>
        <v>2039</v>
      </c>
      <c r="D132" s="345">
        <f>IF(F131+SUM(E$99:E131)=D$92,F131,D$92-SUM(E$99:E131))</f>
        <v>15386</v>
      </c>
      <c r="E132" s="484">
        <f>IF(+J96&lt;F131,J96,D132)</f>
        <v>1369</v>
      </c>
      <c r="F132" s="483">
        <f t="shared" si="58"/>
        <v>14017</v>
      </c>
      <c r="G132" s="483">
        <f t="shared" si="59"/>
        <v>14701.5</v>
      </c>
      <c r="H132" s="486">
        <f t="shared" si="56"/>
        <v>3041.9247467520654</v>
      </c>
      <c r="I132" s="540">
        <f t="shared" si="57"/>
        <v>3041.9247467520654</v>
      </c>
      <c r="J132" s="476">
        <f t="shared" si="60"/>
        <v>0</v>
      </c>
      <c r="K132" s="476"/>
      <c r="L132" s="485"/>
      <c r="M132" s="476">
        <f t="shared" si="61"/>
        <v>0</v>
      </c>
      <c r="N132" s="485"/>
      <c r="O132" s="476">
        <f t="shared" si="62"/>
        <v>0</v>
      </c>
      <c r="P132" s="476">
        <f t="shared" si="63"/>
        <v>0</v>
      </c>
    </row>
    <row r="133" spans="2:16">
      <c r="B133" s="160" t="str">
        <f t="shared" si="37"/>
        <v/>
      </c>
      <c r="C133" s="470">
        <f>IF(D93="","-",+C132+1)</f>
        <v>2040</v>
      </c>
      <c r="D133" s="345">
        <f>IF(F132+SUM(E$99:E132)=D$92,F132,D$92-SUM(E$99:E132))</f>
        <v>14017</v>
      </c>
      <c r="E133" s="484">
        <f>IF(+J96&lt;F132,J96,D133)</f>
        <v>1369</v>
      </c>
      <c r="F133" s="483">
        <f t="shared" si="58"/>
        <v>12648</v>
      </c>
      <c r="G133" s="483">
        <f t="shared" si="59"/>
        <v>13332.5</v>
      </c>
      <c r="H133" s="486">
        <f t="shared" si="56"/>
        <v>2886.1424130919913</v>
      </c>
      <c r="I133" s="540">
        <f t="shared" si="57"/>
        <v>2886.1424130919913</v>
      </c>
      <c r="J133" s="476">
        <f t="shared" si="60"/>
        <v>0</v>
      </c>
      <c r="K133" s="476"/>
      <c r="L133" s="485"/>
      <c r="M133" s="476">
        <f t="shared" si="61"/>
        <v>0</v>
      </c>
      <c r="N133" s="485"/>
      <c r="O133" s="476">
        <f t="shared" si="62"/>
        <v>0</v>
      </c>
      <c r="P133" s="476">
        <f t="shared" si="63"/>
        <v>0</v>
      </c>
    </row>
    <row r="134" spans="2:16">
      <c r="B134" s="160" t="str">
        <f t="shared" si="37"/>
        <v/>
      </c>
      <c r="C134" s="470">
        <f>IF(D93="","-",+C133+1)</f>
        <v>2041</v>
      </c>
      <c r="D134" s="345">
        <f>IF(F133+SUM(E$99:E133)=D$92,F133,D$92-SUM(E$99:E133))</f>
        <v>12648</v>
      </c>
      <c r="E134" s="484">
        <f>IF(+J96&lt;F133,J96,D134)</f>
        <v>1369</v>
      </c>
      <c r="F134" s="483">
        <f t="shared" si="58"/>
        <v>11279</v>
      </c>
      <c r="G134" s="483">
        <f t="shared" si="59"/>
        <v>11963.5</v>
      </c>
      <c r="H134" s="486">
        <f t="shared" si="56"/>
        <v>2730.3600794319173</v>
      </c>
      <c r="I134" s="540">
        <f t="shared" si="57"/>
        <v>2730.3600794319173</v>
      </c>
      <c r="J134" s="476">
        <f t="shared" si="60"/>
        <v>0</v>
      </c>
      <c r="K134" s="476"/>
      <c r="L134" s="485"/>
      <c r="M134" s="476">
        <f t="shared" si="61"/>
        <v>0</v>
      </c>
      <c r="N134" s="485"/>
      <c r="O134" s="476">
        <f t="shared" si="62"/>
        <v>0</v>
      </c>
      <c r="P134" s="476">
        <f t="shared" si="63"/>
        <v>0</v>
      </c>
    </row>
    <row r="135" spans="2:16">
      <c r="B135" s="160" t="str">
        <f t="shared" si="37"/>
        <v/>
      </c>
      <c r="C135" s="470">
        <f>IF(D93="","-",+C134+1)</f>
        <v>2042</v>
      </c>
      <c r="D135" s="345">
        <f>IF(F134+SUM(E$99:E134)=D$92,F134,D$92-SUM(E$99:E134))</f>
        <v>11279</v>
      </c>
      <c r="E135" s="484">
        <f>IF(+J96&lt;F134,J96,D135)</f>
        <v>1369</v>
      </c>
      <c r="F135" s="483">
        <f t="shared" si="58"/>
        <v>9910</v>
      </c>
      <c r="G135" s="483">
        <f t="shared" si="59"/>
        <v>10594.5</v>
      </c>
      <c r="H135" s="486">
        <f t="shared" si="56"/>
        <v>2574.5777457718432</v>
      </c>
      <c r="I135" s="540">
        <f t="shared" si="57"/>
        <v>2574.5777457718432</v>
      </c>
      <c r="J135" s="476">
        <f t="shared" si="60"/>
        <v>0</v>
      </c>
      <c r="K135" s="476"/>
      <c r="L135" s="485"/>
      <c r="M135" s="476">
        <f t="shared" si="61"/>
        <v>0</v>
      </c>
      <c r="N135" s="485"/>
      <c r="O135" s="476">
        <f t="shared" si="62"/>
        <v>0</v>
      </c>
      <c r="P135" s="476">
        <f t="shared" si="63"/>
        <v>0</v>
      </c>
    </row>
    <row r="136" spans="2:16">
      <c r="B136" s="160" t="str">
        <f t="shared" si="37"/>
        <v/>
      </c>
      <c r="C136" s="470">
        <f>IF(D93="","-",+C135+1)</f>
        <v>2043</v>
      </c>
      <c r="D136" s="345">
        <f>IF(F135+SUM(E$99:E135)=D$92,F135,D$92-SUM(E$99:E135))</f>
        <v>9910</v>
      </c>
      <c r="E136" s="484">
        <f>IF(+J96&lt;F135,J96,D136)</f>
        <v>1369</v>
      </c>
      <c r="F136" s="483">
        <f t="shared" si="58"/>
        <v>8541</v>
      </c>
      <c r="G136" s="483">
        <f t="shared" si="59"/>
        <v>9225.5</v>
      </c>
      <c r="H136" s="486">
        <f t="shared" si="56"/>
        <v>2418.7954121117691</v>
      </c>
      <c r="I136" s="540">
        <f t="shared" si="57"/>
        <v>2418.7954121117691</v>
      </c>
      <c r="J136" s="476">
        <f t="shared" si="60"/>
        <v>0</v>
      </c>
      <c r="K136" s="476"/>
      <c r="L136" s="485"/>
      <c r="M136" s="476">
        <f t="shared" si="61"/>
        <v>0</v>
      </c>
      <c r="N136" s="485"/>
      <c r="O136" s="476">
        <f t="shared" si="62"/>
        <v>0</v>
      </c>
      <c r="P136" s="476">
        <f t="shared" si="63"/>
        <v>0</v>
      </c>
    </row>
    <row r="137" spans="2:16">
      <c r="B137" s="160" t="str">
        <f t="shared" si="37"/>
        <v/>
      </c>
      <c r="C137" s="470">
        <f>IF(D93="","-",+C136+1)</f>
        <v>2044</v>
      </c>
      <c r="D137" s="345">
        <f>IF(F136+SUM(E$99:E136)=D$92,F136,D$92-SUM(E$99:E136))</f>
        <v>8541</v>
      </c>
      <c r="E137" s="484">
        <f>IF(+J96&lt;F136,J96,D137)</f>
        <v>1369</v>
      </c>
      <c r="F137" s="483">
        <f t="shared" si="58"/>
        <v>7172</v>
      </c>
      <c r="G137" s="483">
        <f t="shared" si="59"/>
        <v>7856.5</v>
      </c>
      <c r="H137" s="486">
        <f t="shared" si="56"/>
        <v>2263.0130784516955</v>
      </c>
      <c r="I137" s="540">
        <f t="shared" si="57"/>
        <v>2263.0130784516955</v>
      </c>
      <c r="J137" s="476">
        <f t="shared" si="60"/>
        <v>0</v>
      </c>
      <c r="K137" s="476"/>
      <c r="L137" s="485"/>
      <c r="M137" s="476">
        <f t="shared" si="61"/>
        <v>0</v>
      </c>
      <c r="N137" s="485"/>
      <c r="O137" s="476">
        <f t="shared" si="62"/>
        <v>0</v>
      </c>
      <c r="P137" s="476">
        <f t="shared" si="63"/>
        <v>0</v>
      </c>
    </row>
    <row r="138" spans="2:16">
      <c r="B138" s="160" t="str">
        <f t="shared" si="37"/>
        <v/>
      </c>
      <c r="C138" s="470">
        <f>IF(D93="","-",+C137+1)</f>
        <v>2045</v>
      </c>
      <c r="D138" s="345">
        <f>IF(F137+SUM(E$99:E137)=D$92,F137,D$92-SUM(E$99:E137))</f>
        <v>7172</v>
      </c>
      <c r="E138" s="484">
        <f>IF(+J96&lt;F137,J96,D138)</f>
        <v>1369</v>
      </c>
      <c r="F138" s="483">
        <f t="shared" si="58"/>
        <v>5803</v>
      </c>
      <c r="G138" s="483">
        <f t="shared" si="59"/>
        <v>6487.5</v>
      </c>
      <c r="H138" s="486">
        <f t="shared" si="56"/>
        <v>2107.2307447916214</v>
      </c>
      <c r="I138" s="540">
        <f t="shared" si="57"/>
        <v>2107.2307447916214</v>
      </c>
      <c r="J138" s="476">
        <f t="shared" si="60"/>
        <v>0</v>
      </c>
      <c r="K138" s="476"/>
      <c r="L138" s="485"/>
      <c r="M138" s="476">
        <f t="shared" si="61"/>
        <v>0</v>
      </c>
      <c r="N138" s="485"/>
      <c r="O138" s="476">
        <f t="shared" si="62"/>
        <v>0</v>
      </c>
      <c r="P138" s="476">
        <f t="shared" si="63"/>
        <v>0</v>
      </c>
    </row>
    <row r="139" spans="2:16">
      <c r="B139" s="160" t="str">
        <f t="shared" si="37"/>
        <v/>
      </c>
      <c r="C139" s="470">
        <f>IF(D93="","-",+C138+1)</f>
        <v>2046</v>
      </c>
      <c r="D139" s="345">
        <f>IF(F138+SUM(E$99:E138)=D$92,F138,D$92-SUM(E$99:E138))</f>
        <v>5803</v>
      </c>
      <c r="E139" s="484">
        <f>IF(+J96&lt;F138,J96,D139)</f>
        <v>1369</v>
      </c>
      <c r="F139" s="483">
        <f t="shared" si="58"/>
        <v>4434</v>
      </c>
      <c r="G139" s="483">
        <f t="shared" si="59"/>
        <v>5118.5</v>
      </c>
      <c r="H139" s="486">
        <f t="shared" si="56"/>
        <v>1951.4484111315473</v>
      </c>
      <c r="I139" s="540">
        <f t="shared" si="57"/>
        <v>1951.4484111315473</v>
      </c>
      <c r="J139" s="476">
        <f t="shared" si="60"/>
        <v>0</v>
      </c>
      <c r="K139" s="476"/>
      <c r="L139" s="485"/>
      <c r="M139" s="476">
        <f t="shared" si="61"/>
        <v>0</v>
      </c>
      <c r="N139" s="485"/>
      <c r="O139" s="476">
        <f t="shared" si="62"/>
        <v>0</v>
      </c>
      <c r="P139" s="476">
        <f t="shared" si="63"/>
        <v>0</v>
      </c>
    </row>
    <row r="140" spans="2:16">
      <c r="B140" s="160" t="str">
        <f t="shared" si="37"/>
        <v/>
      </c>
      <c r="C140" s="470">
        <f>IF(D93="","-",+C139+1)</f>
        <v>2047</v>
      </c>
      <c r="D140" s="345">
        <f>IF(F139+SUM(E$99:E139)=D$92,F139,D$92-SUM(E$99:E139))</f>
        <v>4434</v>
      </c>
      <c r="E140" s="484">
        <f>IF(+J96&lt;F139,J96,D140)</f>
        <v>1369</v>
      </c>
      <c r="F140" s="483">
        <f t="shared" si="58"/>
        <v>3065</v>
      </c>
      <c r="G140" s="483">
        <f t="shared" si="59"/>
        <v>3749.5</v>
      </c>
      <c r="H140" s="486">
        <f t="shared" si="56"/>
        <v>1795.6660774714735</v>
      </c>
      <c r="I140" s="540">
        <f t="shared" si="57"/>
        <v>1795.6660774714735</v>
      </c>
      <c r="J140" s="476">
        <f t="shared" si="60"/>
        <v>0</v>
      </c>
      <c r="K140" s="476"/>
      <c r="L140" s="485"/>
      <c r="M140" s="476">
        <f t="shared" si="61"/>
        <v>0</v>
      </c>
      <c r="N140" s="485"/>
      <c r="O140" s="476">
        <f t="shared" si="62"/>
        <v>0</v>
      </c>
      <c r="P140" s="476">
        <f t="shared" si="63"/>
        <v>0</v>
      </c>
    </row>
    <row r="141" spans="2:16">
      <c r="B141" s="160" t="str">
        <f t="shared" si="37"/>
        <v/>
      </c>
      <c r="C141" s="470">
        <f>IF(D93="","-",+C140+1)</f>
        <v>2048</v>
      </c>
      <c r="D141" s="345">
        <f>IF(F140+SUM(E$99:E140)=D$92,F140,D$92-SUM(E$99:E140))</f>
        <v>3065</v>
      </c>
      <c r="E141" s="484">
        <f>IF(+J96&lt;F140,J96,D141)</f>
        <v>1369</v>
      </c>
      <c r="F141" s="483">
        <f t="shared" si="58"/>
        <v>1696</v>
      </c>
      <c r="G141" s="483">
        <f t="shared" si="59"/>
        <v>2380.5</v>
      </c>
      <c r="H141" s="486">
        <f t="shared" si="56"/>
        <v>1639.8837438113997</v>
      </c>
      <c r="I141" s="540">
        <f t="shared" si="57"/>
        <v>1639.8837438113997</v>
      </c>
      <c r="J141" s="476">
        <f t="shared" si="60"/>
        <v>0</v>
      </c>
      <c r="K141" s="476"/>
      <c r="L141" s="485"/>
      <c r="M141" s="476">
        <f t="shared" si="61"/>
        <v>0</v>
      </c>
      <c r="N141" s="485"/>
      <c r="O141" s="476">
        <f t="shared" si="62"/>
        <v>0</v>
      </c>
      <c r="P141" s="476">
        <f t="shared" si="63"/>
        <v>0</v>
      </c>
    </row>
    <row r="142" spans="2:16">
      <c r="B142" s="160" t="str">
        <f t="shared" si="37"/>
        <v/>
      </c>
      <c r="C142" s="470">
        <f>IF(D93="","-",+C141+1)</f>
        <v>2049</v>
      </c>
      <c r="D142" s="345">
        <f>IF(F141+SUM(E$99:E141)=D$92,F141,D$92-SUM(E$99:E141))</f>
        <v>1696</v>
      </c>
      <c r="E142" s="484">
        <f>IF(+J96&lt;F141,J96,D142)</f>
        <v>1369</v>
      </c>
      <c r="F142" s="483">
        <f t="shared" si="58"/>
        <v>327</v>
      </c>
      <c r="G142" s="483">
        <f t="shared" si="59"/>
        <v>1011.5</v>
      </c>
      <c r="H142" s="486">
        <f t="shared" si="56"/>
        <v>1484.1014101513256</v>
      </c>
      <c r="I142" s="540">
        <f t="shared" si="57"/>
        <v>1484.1014101513256</v>
      </c>
      <c r="J142" s="476">
        <f t="shared" si="60"/>
        <v>0</v>
      </c>
      <c r="K142" s="476"/>
      <c r="L142" s="485"/>
      <c r="M142" s="476">
        <f t="shared" si="61"/>
        <v>0</v>
      </c>
      <c r="N142" s="485"/>
      <c r="O142" s="476">
        <f t="shared" si="62"/>
        <v>0</v>
      </c>
      <c r="P142" s="476">
        <f t="shared" si="63"/>
        <v>0</v>
      </c>
    </row>
    <row r="143" spans="2:16">
      <c r="B143" s="160" t="str">
        <f t="shared" si="37"/>
        <v/>
      </c>
      <c r="C143" s="470">
        <f>IF(D93="","-",+C142+1)</f>
        <v>2050</v>
      </c>
      <c r="D143" s="345">
        <f>IF(F142+SUM(E$99:E142)=D$92,F142,D$92-SUM(E$99:E142))</f>
        <v>327</v>
      </c>
      <c r="E143" s="484">
        <f>IF(+J96&lt;F142,J96,D143)</f>
        <v>327</v>
      </c>
      <c r="F143" s="483">
        <f t="shared" si="58"/>
        <v>0</v>
      </c>
      <c r="G143" s="483">
        <f t="shared" si="59"/>
        <v>163.5</v>
      </c>
      <c r="H143" s="486">
        <f t="shared" si="56"/>
        <v>345.60512166064433</v>
      </c>
      <c r="I143" s="540">
        <f t="shared" si="57"/>
        <v>345.60512166064433</v>
      </c>
      <c r="J143" s="476">
        <f t="shared" si="60"/>
        <v>0</v>
      </c>
      <c r="K143" s="476"/>
      <c r="L143" s="485"/>
      <c r="M143" s="476">
        <f t="shared" si="61"/>
        <v>0</v>
      </c>
      <c r="N143" s="485"/>
      <c r="O143" s="476">
        <f t="shared" si="62"/>
        <v>0</v>
      </c>
      <c r="P143" s="476">
        <f t="shared" si="63"/>
        <v>0</v>
      </c>
    </row>
    <row r="144" spans="2:16">
      <c r="B144" s="160" t="str">
        <f t="shared" si="37"/>
        <v/>
      </c>
      <c r="C144" s="470">
        <f>IF(D93="","-",+C143+1)</f>
        <v>2051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58"/>
        <v>0</v>
      </c>
      <c r="G144" s="483">
        <f t="shared" si="59"/>
        <v>0</v>
      </c>
      <c r="H144" s="486">
        <f t="shared" si="56"/>
        <v>0</v>
      </c>
      <c r="I144" s="540">
        <f t="shared" si="57"/>
        <v>0</v>
      </c>
      <c r="J144" s="476">
        <f t="shared" si="60"/>
        <v>0</v>
      </c>
      <c r="K144" s="476"/>
      <c r="L144" s="485"/>
      <c r="M144" s="476">
        <f t="shared" si="61"/>
        <v>0</v>
      </c>
      <c r="N144" s="485"/>
      <c r="O144" s="476">
        <f t="shared" si="62"/>
        <v>0</v>
      </c>
      <c r="P144" s="476">
        <f t="shared" si="63"/>
        <v>0</v>
      </c>
    </row>
    <row r="145" spans="2:16">
      <c r="B145" s="160" t="str">
        <f t="shared" si="37"/>
        <v/>
      </c>
      <c r="C145" s="470">
        <f>IF(D93="","-",+C144+1)</f>
        <v>2052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58"/>
        <v>0</v>
      </c>
      <c r="G145" s="483">
        <f t="shared" si="59"/>
        <v>0</v>
      </c>
      <c r="H145" s="486">
        <f t="shared" si="56"/>
        <v>0</v>
      </c>
      <c r="I145" s="540">
        <f t="shared" si="57"/>
        <v>0</v>
      </c>
      <c r="J145" s="476">
        <f t="shared" si="60"/>
        <v>0</v>
      </c>
      <c r="K145" s="476"/>
      <c r="L145" s="485"/>
      <c r="M145" s="476">
        <f t="shared" si="61"/>
        <v>0</v>
      </c>
      <c r="N145" s="485"/>
      <c r="O145" s="476">
        <f t="shared" si="62"/>
        <v>0</v>
      </c>
      <c r="P145" s="476">
        <f t="shared" si="63"/>
        <v>0</v>
      </c>
    </row>
    <row r="146" spans="2:16">
      <c r="B146" s="160" t="str">
        <f t="shared" si="37"/>
        <v/>
      </c>
      <c r="C146" s="470">
        <f>IF(D93="","-",+C145+1)</f>
        <v>2053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si="58"/>
        <v>0</v>
      </c>
      <c r="G146" s="483">
        <f t="shared" si="59"/>
        <v>0</v>
      </c>
      <c r="H146" s="486">
        <f t="shared" si="56"/>
        <v>0</v>
      </c>
      <c r="I146" s="540">
        <f t="shared" si="57"/>
        <v>0</v>
      </c>
      <c r="J146" s="476">
        <f t="shared" si="60"/>
        <v>0</v>
      </c>
      <c r="K146" s="476"/>
      <c r="L146" s="485"/>
      <c r="M146" s="476">
        <f t="shared" si="61"/>
        <v>0</v>
      </c>
      <c r="N146" s="485"/>
      <c r="O146" s="476">
        <f t="shared" si="62"/>
        <v>0</v>
      </c>
      <c r="P146" s="476">
        <f t="shared" si="63"/>
        <v>0</v>
      </c>
    </row>
    <row r="147" spans="2:16">
      <c r="B147" s="160" t="str">
        <f t="shared" si="37"/>
        <v/>
      </c>
      <c r="C147" s="470">
        <f>IF(D93="","-",+C146+1)</f>
        <v>2054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58"/>
        <v>0</v>
      </c>
      <c r="G147" s="483">
        <f t="shared" si="59"/>
        <v>0</v>
      </c>
      <c r="H147" s="486">
        <f t="shared" si="56"/>
        <v>0</v>
      </c>
      <c r="I147" s="540">
        <f t="shared" si="57"/>
        <v>0</v>
      </c>
      <c r="J147" s="476">
        <f t="shared" si="60"/>
        <v>0</v>
      </c>
      <c r="K147" s="476"/>
      <c r="L147" s="485"/>
      <c r="M147" s="476">
        <f t="shared" si="61"/>
        <v>0</v>
      </c>
      <c r="N147" s="485"/>
      <c r="O147" s="476">
        <f t="shared" si="62"/>
        <v>0</v>
      </c>
      <c r="P147" s="476">
        <f t="shared" si="63"/>
        <v>0</v>
      </c>
    </row>
    <row r="148" spans="2:16">
      <c r="B148" s="160" t="str">
        <f t="shared" si="37"/>
        <v/>
      </c>
      <c r="C148" s="470">
        <f>IF(D93="","-",+C147+1)</f>
        <v>2055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58"/>
        <v>0</v>
      </c>
      <c r="G148" s="483">
        <f t="shared" si="59"/>
        <v>0</v>
      </c>
      <c r="H148" s="486">
        <f t="shared" si="56"/>
        <v>0</v>
      </c>
      <c r="I148" s="540">
        <f t="shared" si="57"/>
        <v>0</v>
      </c>
      <c r="J148" s="476">
        <f t="shared" si="60"/>
        <v>0</v>
      </c>
      <c r="K148" s="476"/>
      <c r="L148" s="485"/>
      <c r="M148" s="476">
        <f t="shared" si="61"/>
        <v>0</v>
      </c>
      <c r="N148" s="485"/>
      <c r="O148" s="476">
        <f t="shared" si="62"/>
        <v>0</v>
      </c>
      <c r="P148" s="476">
        <f t="shared" si="63"/>
        <v>0</v>
      </c>
    </row>
    <row r="149" spans="2:16">
      <c r="B149" s="160" t="str">
        <f t="shared" si="37"/>
        <v/>
      </c>
      <c r="C149" s="470">
        <f>IF(D93="","-",+C148+1)</f>
        <v>2056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58"/>
        <v>0</v>
      </c>
      <c r="G149" s="483">
        <f t="shared" si="59"/>
        <v>0</v>
      </c>
      <c r="H149" s="486">
        <f t="shared" si="56"/>
        <v>0</v>
      </c>
      <c r="I149" s="540">
        <f t="shared" si="57"/>
        <v>0</v>
      </c>
      <c r="J149" s="476">
        <f t="shared" si="60"/>
        <v>0</v>
      </c>
      <c r="K149" s="476"/>
      <c r="L149" s="485"/>
      <c r="M149" s="476">
        <f t="shared" si="61"/>
        <v>0</v>
      </c>
      <c r="N149" s="485"/>
      <c r="O149" s="476">
        <f t="shared" si="62"/>
        <v>0</v>
      </c>
      <c r="P149" s="476">
        <f t="shared" si="63"/>
        <v>0</v>
      </c>
    </row>
    <row r="150" spans="2:16">
      <c r="B150" s="160" t="str">
        <f t="shared" si="37"/>
        <v/>
      </c>
      <c r="C150" s="470">
        <f>IF(D93="","-",+C149+1)</f>
        <v>2057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58"/>
        <v>0</v>
      </c>
      <c r="G150" s="483">
        <f t="shared" si="59"/>
        <v>0</v>
      </c>
      <c r="H150" s="486">
        <f t="shared" si="56"/>
        <v>0</v>
      </c>
      <c r="I150" s="540">
        <f t="shared" si="57"/>
        <v>0</v>
      </c>
      <c r="J150" s="476">
        <f t="shared" si="60"/>
        <v>0</v>
      </c>
      <c r="K150" s="476"/>
      <c r="L150" s="485"/>
      <c r="M150" s="476">
        <f t="shared" si="61"/>
        <v>0</v>
      </c>
      <c r="N150" s="485"/>
      <c r="O150" s="476">
        <f t="shared" si="62"/>
        <v>0</v>
      </c>
      <c r="P150" s="476">
        <f t="shared" si="63"/>
        <v>0</v>
      </c>
    </row>
    <row r="151" spans="2:16">
      <c r="B151" s="160" t="str">
        <f t="shared" si="37"/>
        <v/>
      </c>
      <c r="C151" s="470">
        <f>IF(D93="","-",+C150+1)</f>
        <v>2058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58"/>
        <v>0</v>
      </c>
      <c r="G151" s="483">
        <f t="shared" si="59"/>
        <v>0</v>
      </c>
      <c r="H151" s="486">
        <f t="shared" si="56"/>
        <v>0</v>
      </c>
      <c r="I151" s="540">
        <f t="shared" si="57"/>
        <v>0</v>
      </c>
      <c r="J151" s="476">
        <f t="shared" si="60"/>
        <v>0</v>
      </c>
      <c r="K151" s="476"/>
      <c r="L151" s="485"/>
      <c r="M151" s="476">
        <f t="shared" si="61"/>
        <v>0</v>
      </c>
      <c r="N151" s="485"/>
      <c r="O151" s="476">
        <f t="shared" si="62"/>
        <v>0</v>
      </c>
      <c r="P151" s="476">
        <f t="shared" si="63"/>
        <v>0</v>
      </c>
    </row>
    <row r="152" spans="2:16">
      <c r="B152" s="160" t="str">
        <f t="shared" si="37"/>
        <v/>
      </c>
      <c r="C152" s="470">
        <f>IF(D93="","-",+C151+1)</f>
        <v>2059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58"/>
        <v>0</v>
      </c>
      <c r="G152" s="483">
        <f t="shared" si="59"/>
        <v>0</v>
      </c>
      <c r="H152" s="486">
        <f t="shared" si="56"/>
        <v>0</v>
      </c>
      <c r="I152" s="540">
        <f t="shared" si="57"/>
        <v>0</v>
      </c>
      <c r="J152" s="476">
        <f t="shared" si="60"/>
        <v>0</v>
      </c>
      <c r="K152" s="476"/>
      <c r="L152" s="485"/>
      <c r="M152" s="476">
        <f t="shared" si="61"/>
        <v>0</v>
      </c>
      <c r="N152" s="485"/>
      <c r="O152" s="476">
        <f t="shared" si="62"/>
        <v>0</v>
      </c>
      <c r="P152" s="476">
        <f t="shared" si="63"/>
        <v>0</v>
      </c>
    </row>
    <row r="153" spans="2:16">
      <c r="B153" s="160" t="str">
        <f t="shared" si="37"/>
        <v/>
      </c>
      <c r="C153" s="470">
        <f>IF(D93="","-",+C152+1)</f>
        <v>2060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58"/>
        <v>0</v>
      </c>
      <c r="G153" s="483">
        <f t="shared" si="59"/>
        <v>0</v>
      </c>
      <c r="H153" s="486">
        <f t="shared" si="56"/>
        <v>0</v>
      </c>
      <c r="I153" s="540">
        <f t="shared" si="57"/>
        <v>0</v>
      </c>
      <c r="J153" s="476">
        <f t="shared" si="60"/>
        <v>0</v>
      </c>
      <c r="K153" s="476"/>
      <c r="L153" s="485"/>
      <c r="M153" s="476">
        <f t="shared" si="61"/>
        <v>0</v>
      </c>
      <c r="N153" s="485"/>
      <c r="O153" s="476">
        <f t="shared" si="62"/>
        <v>0</v>
      </c>
      <c r="P153" s="476">
        <f t="shared" si="63"/>
        <v>0</v>
      </c>
    </row>
    <row r="154" spans="2:16" ht="13.5" thickBot="1">
      <c r="B154" s="160" t="str">
        <f t="shared" si="37"/>
        <v/>
      </c>
      <c r="C154" s="487">
        <f>IF(D93="","-",+C153+1)</f>
        <v>2061</v>
      </c>
      <c r="D154" s="541">
        <f>IF(F153+SUM(E$99:E153)=D$92,F153,D$92-SUM(E$99:E153))</f>
        <v>0</v>
      </c>
      <c r="E154" s="542">
        <f>IF(+J96&lt;F153,J96,D154)</f>
        <v>0</v>
      </c>
      <c r="F154" s="488">
        <f t="shared" si="58"/>
        <v>0</v>
      </c>
      <c r="G154" s="488">
        <f t="shared" si="59"/>
        <v>0</v>
      </c>
      <c r="H154" s="490">
        <f t="shared" si="56"/>
        <v>0</v>
      </c>
      <c r="I154" s="543">
        <f t="shared" si="57"/>
        <v>0</v>
      </c>
      <c r="J154" s="493">
        <f t="shared" si="60"/>
        <v>0</v>
      </c>
      <c r="K154" s="476"/>
      <c r="L154" s="492"/>
      <c r="M154" s="493">
        <f t="shared" si="61"/>
        <v>0</v>
      </c>
      <c r="N154" s="492"/>
      <c r="O154" s="493">
        <f t="shared" si="62"/>
        <v>0</v>
      </c>
      <c r="P154" s="493">
        <f t="shared" si="63"/>
        <v>0</v>
      </c>
    </row>
    <row r="155" spans="2:16">
      <c r="C155" s="345" t="s">
        <v>77</v>
      </c>
      <c r="D155" s="346"/>
      <c r="E155" s="346">
        <f>SUM(E99:E154)</f>
        <v>56133</v>
      </c>
      <c r="F155" s="346"/>
      <c r="G155" s="346"/>
      <c r="H155" s="346">
        <f>SUM(H99:H154)</f>
        <v>206253.73965302468</v>
      </c>
      <c r="I155" s="346">
        <f>SUM(I99:I154)</f>
        <v>206253.73965302468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56" priority="1" stopIfTrue="1" operator="equal">
      <formula>$I$10</formula>
    </cfRule>
  </conditionalFormatting>
  <conditionalFormatting sqref="C99:C154">
    <cfRule type="cellIs" dxfId="5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7">
    <tabColor rgb="FFC00000"/>
  </sheetPr>
  <dimension ref="A1:P162"/>
  <sheetViews>
    <sheetView topLeftCell="A96" zoomScaleNormal="100" zoomScaleSheetLayoutView="75" workbookViewId="0">
      <selection activeCell="V52" sqref="V5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"&amp;RIGHT(MID(CELL("filename",$A$1),FIND("]",CELL("filename",$A$1))+1,256),1)&amp;" of "&amp;COUNT('P.001:P.xyz - blank'!$P$3)-1</f>
        <v>PSO Project 9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7082.9634280961545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7082.9634280961545</v>
      </c>
      <c r="O6" s="231"/>
      <c r="P6" s="231"/>
    </row>
    <row r="7" spans="1:16" ht="13.5" thickBot="1">
      <c r="C7" s="429" t="s">
        <v>46</v>
      </c>
      <c r="D7" s="430" t="s">
        <v>216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>DOES NOT MEET SPP $100,000 MINIMUM INVESTMENT FOR REGIONAL BPU SHARING.</v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88</v>
      </c>
      <c r="E9" s="575" t="s">
        <v>346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72551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2007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4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1909.2368421052631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2007</v>
      </c>
      <c r="D17" s="471">
        <v>72551</v>
      </c>
      <c r="E17" s="472">
        <v>863.70238095238085</v>
      </c>
      <c r="F17" s="471">
        <v>71687.297619047618</v>
      </c>
      <c r="G17" s="472">
        <v>11207.929543529199</v>
      </c>
      <c r="H17" s="479">
        <v>11207.929543529199</v>
      </c>
      <c r="I17" s="473">
        <f t="shared" ref="I17:I48" si="0">H17-G17</f>
        <v>0</v>
      </c>
      <c r="J17" s="473"/>
      <c r="K17" s="552">
        <v>0</v>
      </c>
      <c r="L17" s="475">
        <f t="shared" ref="L17:L48" si="1">IF(K17&lt;&gt;0,+G17-K17,0)</f>
        <v>0</v>
      </c>
      <c r="M17" s="552">
        <v>0</v>
      </c>
      <c r="N17" s="475">
        <f t="shared" ref="N17:N48" si="2">IF(M17&lt;&gt;0,+H17-M17,0)</f>
        <v>0</v>
      </c>
      <c r="O17" s="476">
        <f t="shared" ref="O17:O48" si="3">+N17-L17</f>
        <v>0</v>
      </c>
      <c r="P17" s="241"/>
    </row>
    <row r="18" spans="2:16">
      <c r="B18" s="160" t="str">
        <f>IF(D18=F17,"","IU")</f>
        <v/>
      </c>
      <c r="C18" s="470">
        <f>IF(D11="","-",+C17+1)</f>
        <v>2008</v>
      </c>
      <c r="D18" s="477">
        <v>71687.297619047618</v>
      </c>
      <c r="E18" s="478">
        <v>1295.5535714285713</v>
      </c>
      <c r="F18" s="477">
        <v>70391.744047619053</v>
      </c>
      <c r="G18" s="478">
        <v>11452.836869621469</v>
      </c>
      <c r="H18" s="479">
        <v>11452.836869621469</v>
      </c>
      <c r="I18" s="473">
        <f t="shared" si="0"/>
        <v>0</v>
      </c>
      <c r="J18" s="473"/>
      <c r="K18" s="474">
        <v>0</v>
      </c>
      <c r="L18" s="476">
        <f t="shared" si="1"/>
        <v>0</v>
      </c>
      <c r="M18" s="474">
        <v>0</v>
      </c>
      <c r="N18" s="476">
        <f t="shared" si="2"/>
        <v>0</v>
      </c>
      <c r="O18" s="476">
        <f t="shared" si="3"/>
        <v>0</v>
      </c>
      <c r="P18" s="241"/>
    </row>
    <row r="19" spans="2:16">
      <c r="B19" s="160" t="str">
        <f>IF(D19=F18,"","IU")</f>
        <v/>
      </c>
      <c r="C19" s="470">
        <f>IF(D11="","-",+C18+1)</f>
        <v>2009</v>
      </c>
      <c r="D19" s="477">
        <v>70391.744047619053</v>
      </c>
      <c r="E19" s="478">
        <v>1295.5535714285713</v>
      </c>
      <c r="F19" s="477">
        <v>69096.190476190488</v>
      </c>
      <c r="G19" s="478">
        <v>11265.893005237553</v>
      </c>
      <c r="H19" s="479">
        <v>11265.893005237553</v>
      </c>
      <c r="I19" s="473">
        <f t="shared" si="0"/>
        <v>0</v>
      </c>
      <c r="J19" s="473"/>
      <c r="K19" s="474">
        <v>0</v>
      </c>
      <c r="L19" s="476">
        <f t="shared" si="1"/>
        <v>0</v>
      </c>
      <c r="M19" s="474">
        <v>0</v>
      </c>
      <c r="N19" s="476">
        <f t="shared" si="2"/>
        <v>0</v>
      </c>
      <c r="O19" s="476">
        <f t="shared" si="3"/>
        <v>0</v>
      </c>
      <c r="P19" s="241"/>
    </row>
    <row r="20" spans="2:16">
      <c r="B20" s="160" t="str">
        <f t="shared" ref="B20:B72" si="4">IF(D20=F19,"","IU")</f>
        <v/>
      </c>
      <c r="C20" s="470">
        <f>IF(D11="","-",+C19+1)</f>
        <v>2010</v>
      </c>
      <c r="D20" s="477">
        <v>69096.190476190488</v>
      </c>
      <c r="E20" s="478">
        <v>1295.5535714285713</v>
      </c>
      <c r="F20" s="477">
        <v>67800.636904761923</v>
      </c>
      <c r="G20" s="478">
        <v>11078.949140853634</v>
      </c>
      <c r="H20" s="479">
        <v>11078.949140853634</v>
      </c>
      <c r="I20" s="473">
        <f t="shared" si="0"/>
        <v>0</v>
      </c>
      <c r="J20" s="473"/>
      <c r="K20" s="538">
        <f t="shared" ref="K20:K25" si="5">G20</f>
        <v>11078.949140853634</v>
      </c>
      <c r="L20" s="539">
        <f t="shared" si="1"/>
        <v>0</v>
      </c>
      <c r="M20" s="538">
        <f t="shared" ref="M20:M25" si="6">H20</f>
        <v>11078.949140853634</v>
      </c>
      <c r="N20" s="476">
        <f t="shared" si="2"/>
        <v>0</v>
      </c>
      <c r="O20" s="476">
        <f t="shared" si="3"/>
        <v>0</v>
      </c>
      <c r="P20" s="241"/>
    </row>
    <row r="21" spans="2:16">
      <c r="B21" s="160" t="str">
        <f t="shared" si="4"/>
        <v/>
      </c>
      <c r="C21" s="470">
        <f>IF(D11="","-",+C20+1)</f>
        <v>2011</v>
      </c>
      <c r="D21" s="477">
        <v>67800.636904761923</v>
      </c>
      <c r="E21" s="478">
        <v>1422.5686274509803</v>
      </c>
      <c r="F21" s="477">
        <v>66378.068277310944</v>
      </c>
      <c r="G21" s="478">
        <v>11813.613268851301</v>
      </c>
      <c r="H21" s="479">
        <v>11813.613268851301</v>
      </c>
      <c r="I21" s="473">
        <f t="shared" si="0"/>
        <v>0</v>
      </c>
      <c r="J21" s="473"/>
      <c r="K21" s="474">
        <f t="shared" si="5"/>
        <v>11813.613268851301</v>
      </c>
      <c r="L21" s="548">
        <f t="shared" si="1"/>
        <v>0</v>
      </c>
      <c r="M21" s="474">
        <f t="shared" si="6"/>
        <v>11813.613268851301</v>
      </c>
      <c r="N21" s="476">
        <f t="shared" si="2"/>
        <v>0</v>
      </c>
      <c r="O21" s="476">
        <f t="shared" si="3"/>
        <v>0</v>
      </c>
      <c r="P21" s="241"/>
    </row>
    <row r="22" spans="2:16">
      <c r="B22" s="160" t="str">
        <f t="shared" si="4"/>
        <v/>
      </c>
      <c r="C22" s="470">
        <f>IF(D11="","-",+C21+1)</f>
        <v>2012</v>
      </c>
      <c r="D22" s="477">
        <v>66378.068277310944</v>
      </c>
      <c r="E22" s="478">
        <v>1395.2115384615386</v>
      </c>
      <c r="F22" s="477">
        <v>64982.856738849405</v>
      </c>
      <c r="G22" s="478">
        <v>10441.262785463339</v>
      </c>
      <c r="H22" s="479">
        <v>10441.262785463339</v>
      </c>
      <c r="I22" s="473">
        <f t="shared" si="0"/>
        <v>0</v>
      </c>
      <c r="J22" s="473"/>
      <c r="K22" s="474">
        <f t="shared" si="5"/>
        <v>10441.262785463339</v>
      </c>
      <c r="L22" s="548">
        <f t="shared" si="1"/>
        <v>0</v>
      </c>
      <c r="M22" s="474">
        <f t="shared" si="6"/>
        <v>10441.262785463339</v>
      </c>
      <c r="N22" s="476">
        <f t="shared" si="2"/>
        <v>0</v>
      </c>
      <c r="O22" s="476">
        <f t="shared" si="3"/>
        <v>0</v>
      </c>
      <c r="P22" s="241"/>
    </row>
    <row r="23" spans="2:16">
      <c r="B23" s="160" t="str">
        <f t="shared" si="4"/>
        <v/>
      </c>
      <c r="C23" s="470">
        <f>IF(D11="","-",+C22+1)</f>
        <v>2013</v>
      </c>
      <c r="D23" s="477">
        <v>64982.856738849405</v>
      </c>
      <c r="E23" s="478">
        <v>1395.2115384615386</v>
      </c>
      <c r="F23" s="477">
        <v>63587.645200387866</v>
      </c>
      <c r="G23" s="478">
        <v>10475.957148527981</v>
      </c>
      <c r="H23" s="479">
        <v>10475.957148527981</v>
      </c>
      <c r="I23" s="473">
        <v>0</v>
      </c>
      <c r="J23" s="473"/>
      <c r="K23" s="474">
        <f t="shared" si="5"/>
        <v>10475.957148527981</v>
      </c>
      <c r="L23" s="548">
        <f t="shared" ref="L23:L28" si="7">IF(K23&lt;&gt;0,+G23-K23,0)</f>
        <v>0</v>
      </c>
      <c r="M23" s="474">
        <f t="shared" si="6"/>
        <v>10475.957148527981</v>
      </c>
      <c r="N23" s="476">
        <f t="shared" ref="N23:N28" si="8">IF(M23&lt;&gt;0,+H23-M23,0)</f>
        <v>0</v>
      </c>
      <c r="O23" s="476">
        <f t="shared" ref="O23:O28" si="9">+N23-L23</f>
        <v>0</v>
      </c>
      <c r="P23" s="241"/>
    </row>
    <row r="24" spans="2:16">
      <c r="B24" s="160" t="str">
        <f t="shared" si="4"/>
        <v/>
      </c>
      <c r="C24" s="470">
        <f>IF(D11="","-",+C23+1)</f>
        <v>2014</v>
      </c>
      <c r="D24" s="477">
        <v>63587.645200387866</v>
      </c>
      <c r="E24" s="478">
        <v>1395.2115384615386</v>
      </c>
      <c r="F24" s="477">
        <v>62192.433661926327</v>
      </c>
      <c r="G24" s="478">
        <v>9956.5453160541092</v>
      </c>
      <c r="H24" s="479">
        <v>9956.5453160541092</v>
      </c>
      <c r="I24" s="473">
        <v>0</v>
      </c>
      <c r="J24" s="473"/>
      <c r="K24" s="474">
        <f t="shared" si="5"/>
        <v>9956.5453160541092</v>
      </c>
      <c r="L24" s="548">
        <f t="shared" si="7"/>
        <v>0</v>
      </c>
      <c r="M24" s="474">
        <f t="shared" si="6"/>
        <v>9956.5453160541092</v>
      </c>
      <c r="N24" s="476">
        <f t="shared" si="8"/>
        <v>0</v>
      </c>
      <c r="O24" s="476">
        <f t="shared" si="9"/>
        <v>0</v>
      </c>
      <c r="P24" s="241"/>
    </row>
    <row r="25" spans="2:16">
      <c r="B25" s="160" t="str">
        <f t="shared" si="4"/>
        <v/>
      </c>
      <c r="C25" s="470">
        <f>IF(D11="","-",+C24+1)</f>
        <v>2015</v>
      </c>
      <c r="D25" s="477">
        <v>62192.433661926327</v>
      </c>
      <c r="E25" s="478">
        <v>1395.2115384615386</v>
      </c>
      <c r="F25" s="477">
        <v>60797.222123464788</v>
      </c>
      <c r="G25" s="478">
        <v>9777.4252794187214</v>
      </c>
      <c r="H25" s="479">
        <v>9777.4252794187214</v>
      </c>
      <c r="I25" s="473">
        <v>0</v>
      </c>
      <c r="J25" s="473"/>
      <c r="K25" s="474">
        <f t="shared" si="5"/>
        <v>9777.4252794187214</v>
      </c>
      <c r="L25" s="548">
        <f t="shared" si="7"/>
        <v>0</v>
      </c>
      <c r="M25" s="474">
        <f t="shared" si="6"/>
        <v>9777.4252794187214</v>
      </c>
      <c r="N25" s="476">
        <f t="shared" si="8"/>
        <v>0</v>
      </c>
      <c r="O25" s="476">
        <f t="shared" si="9"/>
        <v>0</v>
      </c>
      <c r="P25" s="241"/>
    </row>
    <row r="26" spans="2:16">
      <c r="B26" s="160" t="str">
        <f t="shared" si="4"/>
        <v/>
      </c>
      <c r="C26" s="470">
        <f>IF(D11="","-",+C25+1)</f>
        <v>2016</v>
      </c>
      <c r="D26" s="477">
        <v>60797.222123464788</v>
      </c>
      <c r="E26" s="478">
        <v>1395.2115384615386</v>
      </c>
      <c r="F26" s="477">
        <v>59402.010585003249</v>
      </c>
      <c r="G26" s="478">
        <v>9186.357507240491</v>
      </c>
      <c r="H26" s="479">
        <v>9186.357507240491</v>
      </c>
      <c r="I26" s="473">
        <f t="shared" si="0"/>
        <v>0</v>
      </c>
      <c r="J26" s="473"/>
      <c r="K26" s="474">
        <f t="shared" ref="K26:K31" si="10">G26</f>
        <v>9186.357507240491</v>
      </c>
      <c r="L26" s="548">
        <f t="shared" si="7"/>
        <v>0</v>
      </c>
      <c r="M26" s="474">
        <f t="shared" ref="M26:M31" si="11">H26</f>
        <v>9186.357507240491</v>
      </c>
      <c r="N26" s="476">
        <f t="shared" si="8"/>
        <v>0</v>
      </c>
      <c r="O26" s="476">
        <f t="shared" si="9"/>
        <v>0</v>
      </c>
      <c r="P26" s="241"/>
    </row>
    <row r="27" spans="2:16">
      <c r="B27" s="160" t="str">
        <f t="shared" si="4"/>
        <v/>
      </c>
      <c r="C27" s="470">
        <f>IF(D11="","-",+C26+1)</f>
        <v>2017</v>
      </c>
      <c r="D27" s="477">
        <v>59402.010585003249</v>
      </c>
      <c r="E27" s="478">
        <v>1577.195652173913</v>
      </c>
      <c r="F27" s="477">
        <v>57824.814932829337</v>
      </c>
      <c r="G27" s="478">
        <v>8936.0194589414823</v>
      </c>
      <c r="H27" s="479">
        <v>8936.0194589414823</v>
      </c>
      <c r="I27" s="473">
        <f t="shared" si="0"/>
        <v>0</v>
      </c>
      <c r="J27" s="473"/>
      <c r="K27" s="474">
        <f t="shared" si="10"/>
        <v>8936.0194589414823</v>
      </c>
      <c r="L27" s="548">
        <f t="shared" si="7"/>
        <v>0</v>
      </c>
      <c r="M27" s="474">
        <f t="shared" si="11"/>
        <v>8936.0194589414823</v>
      </c>
      <c r="N27" s="476">
        <f t="shared" si="8"/>
        <v>0</v>
      </c>
      <c r="O27" s="476">
        <f t="shared" si="9"/>
        <v>0</v>
      </c>
      <c r="P27" s="241"/>
    </row>
    <row r="28" spans="2:16">
      <c r="B28" s="160" t="str">
        <f t="shared" si="4"/>
        <v/>
      </c>
      <c r="C28" s="470">
        <f>IF(D11="","-",+C27+1)</f>
        <v>2018</v>
      </c>
      <c r="D28" s="477">
        <v>57824.814932829337</v>
      </c>
      <c r="E28" s="478">
        <v>1612.2444444444445</v>
      </c>
      <c r="F28" s="477">
        <v>56212.570488384896</v>
      </c>
      <c r="G28" s="478">
        <v>8440.7426840086373</v>
      </c>
      <c r="H28" s="479">
        <v>8440.7426840086373</v>
      </c>
      <c r="I28" s="473">
        <f t="shared" si="0"/>
        <v>0</v>
      </c>
      <c r="J28" s="473"/>
      <c r="K28" s="474">
        <f t="shared" si="10"/>
        <v>8440.7426840086373</v>
      </c>
      <c r="L28" s="548">
        <f t="shared" si="7"/>
        <v>0</v>
      </c>
      <c r="M28" s="474">
        <f t="shared" si="11"/>
        <v>8440.7426840086373</v>
      </c>
      <c r="N28" s="476">
        <f t="shared" si="8"/>
        <v>0</v>
      </c>
      <c r="O28" s="476">
        <f t="shared" si="9"/>
        <v>0</v>
      </c>
      <c r="P28" s="241"/>
    </row>
    <row r="29" spans="2:16">
      <c r="B29" s="160" t="str">
        <f t="shared" si="4"/>
        <v/>
      </c>
      <c r="C29" s="470">
        <f>IF(D11="","-",+C28+1)</f>
        <v>2019</v>
      </c>
      <c r="D29" s="477">
        <v>56212.570488384896</v>
      </c>
      <c r="E29" s="478">
        <v>1813.7750000000001</v>
      </c>
      <c r="F29" s="477">
        <v>54398.795488384894</v>
      </c>
      <c r="G29" s="478">
        <v>7989.0212540933571</v>
      </c>
      <c r="H29" s="479">
        <v>7989.0212540933571</v>
      </c>
      <c r="I29" s="473">
        <f t="shared" si="0"/>
        <v>0</v>
      </c>
      <c r="J29" s="473"/>
      <c r="K29" s="474">
        <f t="shared" si="10"/>
        <v>7989.0212540933571</v>
      </c>
      <c r="L29" s="548">
        <f t="shared" ref="L29" si="12">IF(K29&lt;&gt;0,+G29-K29,0)</f>
        <v>0</v>
      </c>
      <c r="M29" s="474">
        <f t="shared" si="11"/>
        <v>7989.0212540933571</v>
      </c>
      <c r="N29" s="476">
        <f t="shared" ref="N29" si="13">IF(M29&lt;&gt;0,+H29-M29,0)</f>
        <v>0</v>
      </c>
      <c r="O29" s="476">
        <f t="shared" si="3"/>
        <v>0</v>
      </c>
      <c r="P29" s="241"/>
    </row>
    <row r="30" spans="2:16">
      <c r="B30" s="160" t="str">
        <f t="shared" si="4"/>
        <v>IU</v>
      </c>
      <c r="C30" s="470">
        <f>IF(D11="","-",+C29+1)</f>
        <v>2020</v>
      </c>
      <c r="D30" s="477">
        <v>54600.326043940455</v>
      </c>
      <c r="E30" s="478">
        <v>1727.4047619047619</v>
      </c>
      <c r="F30" s="477">
        <v>52872.921282035692</v>
      </c>
      <c r="G30" s="478">
        <v>7531.2168125199005</v>
      </c>
      <c r="H30" s="479">
        <v>7531.2168125199005</v>
      </c>
      <c r="I30" s="473">
        <f t="shared" si="0"/>
        <v>0</v>
      </c>
      <c r="J30" s="473"/>
      <c r="K30" s="474">
        <f t="shared" si="10"/>
        <v>7531.2168125199005</v>
      </c>
      <c r="L30" s="548">
        <f t="shared" ref="L30" si="14">IF(K30&lt;&gt;0,+G30-K30,0)</f>
        <v>0</v>
      </c>
      <c r="M30" s="474">
        <f t="shared" si="11"/>
        <v>7531.2168125199005</v>
      </c>
      <c r="N30" s="476">
        <f t="shared" si="2"/>
        <v>0</v>
      </c>
      <c r="O30" s="476">
        <f t="shared" si="3"/>
        <v>0</v>
      </c>
      <c r="P30" s="241"/>
    </row>
    <row r="31" spans="2:16">
      <c r="B31" s="160" t="str">
        <f t="shared" si="4"/>
        <v>IU</v>
      </c>
      <c r="C31" s="470">
        <f>IF(D11="","-",+C30+1)</f>
        <v>2021</v>
      </c>
      <c r="D31" s="477">
        <v>52671.390726480109</v>
      </c>
      <c r="E31" s="478">
        <v>1687.2325581395348</v>
      </c>
      <c r="F31" s="477">
        <v>50984.158168340575</v>
      </c>
      <c r="G31" s="478">
        <v>7184.4287124898146</v>
      </c>
      <c r="H31" s="479">
        <v>7184.4287124898146</v>
      </c>
      <c r="I31" s="473">
        <f t="shared" si="0"/>
        <v>0</v>
      </c>
      <c r="J31" s="473"/>
      <c r="K31" s="474">
        <f t="shared" si="10"/>
        <v>7184.4287124898146</v>
      </c>
      <c r="L31" s="548">
        <f t="shared" ref="L31" si="15">IF(K31&lt;&gt;0,+G31-K31,0)</f>
        <v>0</v>
      </c>
      <c r="M31" s="474">
        <f t="shared" si="11"/>
        <v>7184.4287124898146</v>
      </c>
      <c r="N31" s="476">
        <f t="shared" si="2"/>
        <v>0</v>
      </c>
      <c r="O31" s="476">
        <f t="shared" si="3"/>
        <v>0</v>
      </c>
      <c r="P31" s="241"/>
    </row>
    <row r="32" spans="2:16">
      <c r="B32" s="160" t="str">
        <f t="shared" si="4"/>
        <v/>
      </c>
      <c r="C32" s="470">
        <f>IF(D11="","-",+C31+1)</f>
        <v>2022</v>
      </c>
      <c r="D32" s="477">
        <v>50984.158168340575</v>
      </c>
      <c r="E32" s="478">
        <v>1727.4047619047619</v>
      </c>
      <c r="F32" s="477">
        <v>49256.753406435811</v>
      </c>
      <c r="G32" s="478">
        <v>7037.8367110732015</v>
      </c>
      <c r="H32" s="479">
        <v>7037.8367110732015</v>
      </c>
      <c r="I32" s="473">
        <f t="shared" si="0"/>
        <v>0</v>
      </c>
      <c r="J32" s="473"/>
      <c r="K32" s="474">
        <f t="shared" ref="K32" si="16">G32</f>
        <v>7037.8367110732015</v>
      </c>
      <c r="L32" s="548">
        <f t="shared" ref="L32" si="17">IF(K32&lt;&gt;0,+G32-K32,0)</f>
        <v>0</v>
      </c>
      <c r="M32" s="474">
        <f t="shared" ref="M32" si="18">H32</f>
        <v>7037.8367110732015</v>
      </c>
      <c r="N32" s="476">
        <f t="shared" si="2"/>
        <v>0</v>
      </c>
      <c r="O32" s="476">
        <f t="shared" si="3"/>
        <v>0</v>
      </c>
      <c r="P32" s="241"/>
    </row>
    <row r="33" spans="2:16">
      <c r="B33" s="160" t="str">
        <f t="shared" si="4"/>
        <v/>
      </c>
      <c r="C33" s="470">
        <f>IF(D11="","-",+C32+1)</f>
        <v>2023</v>
      </c>
      <c r="D33" s="477">
        <v>49256.753406435811</v>
      </c>
      <c r="E33" s="478">
        <v>1860.2820512820513</v>
      </c>
      <c r="F33" s="477">
        <v>47396.471355153757</v>
      </c>
      <c r="G33" s="478">
        <v>7517.475137068097</v>
      </c>
      <c r="H33" s="479">
        <v>7517.475137068097</v>
      </c>
      <c r="I33" s="473">
        <f t="shared" si="0"/>
        <v>0</v>
      </c>
      <c r="J33" s="473"/>
      <c r="K33" s="474">
        <f t="shared" ref="K33" si="19">G33</f>
        <v>7517.475137068097</v>
      </c>
      <c r="L33" s="548">
        <f t="shared" ref="L33" si="20">IF(K33&lt;&gt;0,+G33-K33,0)</f>
        <v>0</v>
      </c>
      <c r="M33" s="474">
        <f t="shared" ref="M33" si="21">H33</f>
        <v>7517.475137068097</v>
      </c>
      <c r="N33" s="476">
        <f t="shared" ref="N33" si="22">IF(M33&lt;&gt;0,+H33-M33,0)</f>
        <v>0</v>
      </c>
      <c r="O33" s="476">
        <f t="shared" ref="O33" si="23">+N33-L33</f>
        <v>0</v>
      </c>
      <c r="P33" s="241"/>
    </row>
    <row r="34" spans="2:16">
      <c r="B34" s="160" t="str">
        <f t="shared" si="4"/>
        <v/>
      </c>
      <c r="C34" s="631">
        <f>IF(D11="","-",+C33+1)</f>
        <v>2024</v>
      </c>
      <c r="D34" s="483">
        <f>IF(F33+SUM(E$17:E33)=D$10,F33,D$10-SUM(E$17:E33))</f>
        <v>47396.471355153757</v>
      </c>
      <c r="E34" s="482">
        <f>IF(+I14&lt;F33,I14,D34)</f>
        <v>1909.2368421052631</v>
      </c>
      <c r="F34" s="483">
        <f t="shared" ref="F34:F48" si="24">+D34-E34</f>
        <v>45487.234513048497</v>
      </c>
      <c r="G34" s="484">
        <f t="shared" ref="G34:G72" si="25">+I$12*F34+E34</f>
        <v>7082.9634280961545</v>
      </c>
      <c r="H34" s="453">
        <f t="shared" ref="H34:H72" si="26">+I$13*F34+E34</f>
        <v>7082.9634280961545</v>
      </c>
      <c r="I34" s="473">
        <f t="shared" si="0"/>
        <v>0</v>
      </c>
      <c r="J34" s="473"/>
      <c r="K34" s="485"/>
      <c r="L34" s="476">
        <f t="shared" si="1"/>
        <v>0</v>
      </c>
      <c r="M34" s="485"/>
      <c r="N34" s="476">
        <f t="shared" si="2"/>
        <v>0</v>
      </c>
      <c r="O34" s="476">
        <f t="shared" si="3"/>
        <v>0</v>
      </c>
      <c r="P34" s="241"/>
    </row>
    <row r="35" spans="2:16">
      <c r="B35" s="160" t="str">
        <f t="shared" si="4"/>
        <v/>
      </c>
      <c r="C35" s="470">
        <f>IF(D11="","-",+C34+1)</f>
        <v>2025</v>
      </c>
      <c r="D35" s="483">
        <f>IF(F34+SUM(E$17:E34)=D$10,F34,D$10-SUM(E$17:E34))</f>
        <v>45487.234513048497</v>
      </c>
      <c r="E35" s="482">
        <f>IF(+I14&lt;F34,I14,D35)</f>
        <v>1909.2368421052631</v>
      </c>
      <c r="F35" s="483">
        <f t="shared" si="24"/>
        <v>43577.997670943238</v>
      </c>
      <c r="G35" s="484">
        <f t="shared" si="25"/>
        <v>6865.8064715412402</v>
      </c>
      <c r="H35" s="453">
        <f t="shared" si="26"/>
        <v>6865.8064715412402</v>
      </c>
      <c r="I35" s="473">
        <f t="shared" si="0"/>
        <v>0</v>
      </c>
      <c r="J35" s="473"/>
      <c r="K35" s="485"/>
      <c r="L35" s="476">
        <f t="shared" si="1"/>
        <v>0</v>
      </c>
      <c r="M35" s="485"/>
      <c r="N35" s="476">
        <f t="shared" si="2"/>
        <v>0</v>
      </c>
      <c r="O35" s="476">
        <f t="shared" si="3"/>
        <v>0</v>
      </c>
      <c r="P35" s="241"/>
    </row>
    <row r="36" spans="2:16">
      <c r="B36" s="160" t="str">
        <f t="shared" si="4"/>
        <v/>
      </c>
      <c r="C36" s="470">
        <f>IF(D11="","-",+C35+1)</f>
        <v>2026</v>
      </c>
      <c r="D36" s="483">
        <f>IF(F35+SUM(E$17:E35)=D$10,F35,D$10-SUM(E$17:E35))</f>
        <v>43577.997670943238</v>
      </c>
      <c r="E36" s="482">
        <f>IF(+I14&lt;F35,I14,D36)</f>
        <v>1909.2368421052631</v>
      </c>
      <c r="F36" s="483">
        <f t="shared" si="24"/>
        <v>41668.760828837978</v>
      </c>
      <c r="G36" s="484">
        <f t="shared" si="25"/>
        <v>6648.6495149863258</v>
      </c>
      <c r="H36" s="453">
        <f t="shared" si="26"/>
        <v>6648.6495149863258</v>
      </c>
      <c r="I36" s="473">
        <f t="shared" si="0"/>
        <v>0</v>
      </c>
      <c r="J36" s="473"/>
      <c r="K36" s="485"/>
      <c r="L36" s="476">
        <f t="shared" si="1"/>
        <v>0</v>
      </c>
      <c r="M36" s="485"/>
      <c r="N36" s="476">
        <f t="shared" si="2"/>
        <v>0</v>
      </c>
      <c r="O36" s="476">
        <f t="shared" si="3"/>
        <v>0</v>
      </c>
      <c r="P36" s="241"/>
    </row>
    <row r="37" spans="2:16">
      <c r="B37" s="160" t="str">
        <f t="shared" si="4"/>
        <v/>
      </c>
      <c r="C37" s="470">
        <f>IF(D11="","-",+C36+1)</f>
        <v>2027</v>
      </c>
      <c r="D37" s="483">
        <f>IF(F36+SUM(E$17:E36)=D$10,F36,D$10-SUM(E$17:E36))</f>
        <v>41668.760828837978</v>
      </c>
      <c r="E37" s="482">
        <f>IF(+I14&lt;F36,I14,D37)</f>
        <v>1909.2368421052631</v>
      </c>
      <c r="F37" s="483">
        <f t="shared" si="24"/>
        <v>39759.523986732718</v>
      </c>
      <c r="G37" s="484">
        <f t="shared" si="25"/>
        <v>6431.4925584314115</v>
      </c>
      <c r="H37" s="453">
        <f t="shared" si="26"/>
        <v>6431.4925584314115</v>
      </c>
      <c r="I37" s="473">
        <f t="shared" si="0"/>
        <v>0</v>
      </c>
      <c r="J37" s="473"/>
      <c r="K37" s="485"/>
      <c r="L37" s="476">
        <f t="shared" si="1"/>
        <v>0</v>
      </c>
      <c r="M37" s="485"/>
      <c r="N37" s="476">
        <f t="shared" si="2"/>
        <v>0</v>
      </c>
      <c r="O37" s="476">
        <f t="shared" si="3"/>
        <v>0</v>
      </c>
      <c r="P37" s="241"/>
    </row>
    <row r="38" spans="2:16">
      <c r="B38" s="160" t="str">
        <f t="shared" si="4"/>
        <v/>
      </c>
      <c r="C38" s="470">
        <f>IF(D11="","-",+C37+1)</f>
        <v>2028</v>
      </c>
      <c r="D38" s="483">
        <f>IF(F37+SUM(E$17:E37)=D$10,F37,D$10-SUM(E$17:E37))</f>
        <v>39759.523986732718</v>
      </c>
      <c r="E38" s="482">
        <f>IF(+I14&lt;F37,I14,D38)</f>
        <v>1909.2368421052631</v>
      </c>
      <c r="F38" s="483">
        <f t="shared" si="24"/>
        <v>37850.287144627458</v>
      </c>
      <c r="G38" s="484">
        <f t="shared" si="25"/>
        <v>6214.3356018764971</v>
      </c>
      <c r="H38" s="453">
        <f t="shared" si="26"/>
        <v>6214.3356018764971</v>
      </c>
      <c r="I38" s="473">
        <f t="shared" si="0"/>
        <v>0</v>
      </c>
      <c r="J38" s="473"/>
      <c r="K38" s="485"/>
      <c r="L38" s="476">
        <f t="shared" si="1"/>
        <v>0</v>
      </c>
      <c r="M38" s="485"/>
      <c r="N38" s="476">
        <f t="shared" si="2"/>
        <v>0</v>
      </c>
      <c r="O38" s="476">
        <f t="shared" si="3"/>
        <v>0</v>
      </c>
      <c r="P38" s="241"/>
    </row>
    <row r="39" spans="2:16">
      <c r="B39" s="160" t="str">
        <f t="shared" si="4"/>
        <v/>
      </c>
      <c r="C39" s="470">
        <f>IF(D11="","-",+C38+1)</f>
        <v>2029</v>
      </c>
      <c r="D39" s="483">
        <f>IF(F38+SUM(E$17:E38)=D$10,F38,D$10-SUM(E$17:E38))</f>
        <v>37850.287144627458</v>
      </c>
      <c r="E39" s="482">
        <f>IF(+I14&lt;F38,I14,D39)</f>
        <v>1909.2368421052631</v>
      </c>
      <c r="F39" s="483">
        <f t="shared" si="24"/>
        <v>35941.050302522199</v>
      </c>
      <c r="G39" s="484">
        <f t="shared" si="25"/>
        <v>5997.1786453215827</v>
      </c>
      <c r="H39" s="453">
        <f t="shared" si="26"/>
        <v>5997.1786453215827</v>
      </c>
      <c r="I39" s="473">
        <f t="shared" si="0"/>
        <v>0</v>
      </c>
      <c r="J39" s="473"/>
      <c r="K39" s="485"/>
      <c r="L39" s="476">
        <f t="shared" si="1"/>
        <v>0</v>
      </c>
      <c r="M39" s="485"/>
      <c r="N39" s="476">
        <f t="shared" si="2"/>
        <v>0</v>
      </c>
      <c r="O39" s="476">
        <f t="shared" si="3"/>
        <v>0</v>
      </c>
      <c r="P39" s="241"/>
    </row>
    <row r="40" spans="2:16">
      <c r="B40" s="160" t="str">
        <f t="shared" si="4"/>
        <v/>
      </c>
      <c r="C40" s="470">
        <f>IF(D11="","-",+C39+1)</f>
        <v>2030</v>
      </c>
      <c r="D40" s="483">
        <f>IF(F39+SUM(E$17:E39)=D$10,F39,D$10-SUM(E$17:E39))</f>
        <v>35941.050302522199</v>
      </c>
      <c r="E40" s="482">
        <f>IF(+I14&lt;F39,I14,D40)</f>
        <v>1909.2368421052631</v>
      </c>
      <c r="F40" s="483">
        <f t="shared" si="24"/>
        <v>34031.813460416939</v>
      </c>
      <c r="G40" s="484">
        <f t="shared" si="25"/>
        <v>5780.0216887666675</v>
      </c>
      <c r="H40" s="453">
        <f t="shared" si="26"/>
        <v>5780.0216887666675</v>
      </c>
      <c r="I40" s="473">
        <f t="shared" si="0"/>
        <v>0</v>
      </c>
      <c r="J40" s="473"/>
      <c r="K40" s="485"/>
      <c r="L40" s="476">
        <f t="shared" si="1"/>
        <v>0</v>
      </c>
      <c r="M40" s="485"/>
      <c r="N40" s="476">
        <f t="shared" si="2"/>
        <v>0</v>
      </c>
      <c r="O40" s="476">
        <f t="shared" si="3"/>
        <v>0</v>
      </c>
      <c r="P40" s="241"/>
    </row>
    <row r="41" spans="2:16">
      <c r="B41" s="160" t="str">
        <f t="shared" si="4"/>
        <v/>
      </c>
      <c r="C41" s="470">
        <f>IF(D11="","-",+C40+1)</f>
        <v>2031</v>
      </c>
      <c r="D41" s="483">
        <f>IF(F40+SUM(E$17:E40)=D$10,F40,D$10-SUM(E$17:E40))</f>
        <v>34031.813460416939</v>
      </c>
      <c r="E41" s="482">
        <f>IF(+I14&lt;F40,I14,D41)</f>
        <v>1909.2368421052631</v>
      </c>
      <c r="F41" s="483">
        <f t="shared" si="24"/>
        <v>32122.576618311676</v>
      </c>
      <c r="G41" s="484">
        <f t="shared" si="25"/>
        <v>5562.8647322117531</v>
      </c>
      <c r="H41" s="453">
        <f t="shared" si="26"/>
        <v>5562.8647322117531</v>
      </c>
      <c r="I41" s="473">
        <f t="shared" si="0"/>
        <v>0</v>
      </c>
      <c r="J41" s="473"/>
      <c r="K41" s="485"/>
      <c r="L41" s="476">
        <f t="shared" si="1"/>
        <v>0</v>
      </c>
      <c r="M41" s="485"/>
      <c r="N41" s="476">
        <f t="shared" si="2"/>
        <v>0</v>
      </c>
      <c r="O41" s="476">
        <f t="shared" si="3"/>
        <v>0</v>
      </c>
      <c r="P41" s="241"/>
    </row>
    <row r="42" spans="2:16">
      <c r="B42" s="160" t="str">
        <f t="shared" si="4"/>
        <v/>
      </c>
      <c r="C42" s="470">
        <f>IF(D11="","-",+C41+1)</f>
        <v>2032</v>
      </c>
      <c r="D42" s="483">
        <f>IF(F41+SUM(E$17:E41)=D$10,F41,D$10-SUM(E$17:E41))</f>
        <v>32122.576618311676</v>
      </c>
      <c r="E42" s="482">
        <f>IF(+I14&lt;F41,I14,D42)</f>
        <v>1909.2368421052631</v>
      </c>
      <c r="F42" s="483">
        <f t="shared" si="24"/>
        <v>30213.339776206412</v>
      </c>
      <c r="G42" s="484">
        <f t="shared" si="25"/>
        <v>5345.7077756568378</v>
      </c>
      <c r="H42" s="453">
        <f t="shared" si="26"/>
        <v>5345.7077756568378</v>
      </c>
      <c r="I42" s="473">
        <f t="shared" si="0"/>
        <v>0</v>
      </c>
      <c r="J42" s="473"/>
      <c r="K42" s="485"/>
      <c r="L42" s="476">
        <f t="shared" si="1"/>
        <v>0</v>
      </c>
      <c r="M42" s="485"/>
      <c r="N42" s="476">
        <f t="shared" si="2"/>
        <v>0</v>
      </c>
      <c r="O42" s="476">
        <f t="shared" si="3"/>
        <v>0</v>
      </c>
      <c r="P42" s="241"/>
    </row>
    <row r="43" spans="2:16">
      <c r="B43" s="160" t="str">
        <f t="shared" si="4"/>
        <v/>
      </c>
      <c r="C43" s="470">
        <f>IF(D11="","-",+C42+1)</f>
        <v>2033</v>
      </c>
      <c r="D43" s="483">
        <f>IF(F42+SUM(E$17:E42)=D$10,F42,D$10-SUM(E$17:E42))</f>
        <v>30213.339776206412</v>
      </c>
      <c r="E43" s="482">
        <f>IF(+I14&lt;F42,I14,D43)</f>
        <v>1909.2368421052631</v>
      </c>
      <c r="F43" s="483">
        <f t="shared" si="24"/>
        <v>28304.102934101149</v>
      </c>
      <c r="G43" s="484">
        <f t="shared" si="25"/>
        <v>5128.5508191019235</v>
      </c>
      <c r="H43" s="453">
        <f t="shared" si="26"/>
        <v>5128.5508191019235</v>
      </c>
      <c r="I43" s="473">
        <f t="shared" si="0"/>
        <v>0</v>
      </c>
      <c r="J43" s="473"/>
      <c r="K43" s="485"/>
      <c r="L43" s="476">
        <f t="shared" si="1"/>
        <v>0</v>
      </c>
      <c r="M43" s="485"/>
      <c r="N43" s="476">
        <f t="shared" si="2"/>
        <v>0</v>
      </c>
      <c r="O43" s="476">
        <f t="shared" si="3"/>
        <v>0</v>
      </c>
      <c r="P43" s="241"/>
    </row>
    <row r="44" spans="2:16">
      <c r="B44" s="160" t="str">
        <f t="shared" si="4"/>
        <v/>
      </c>
      <c r="C44" s="470">
        <f>IF(D11="","-",+C43+1)</f>
        <v>2034</v>
      </c>
      <c r="D44" s="483">
        <f>IF(F43+SUM(E$17:E43)=D$10,F43,D$10-SUM(E$17:E43))</f>
        <v>28304.102934101149</v>
      </c>
      <c r="E44" s="482">
        <f>IF(+I14&lt;F43,I14,D44)</f>
        <v>1909.2368421052631</v>
      </c>
      <c r="F44" s="483">
        <f t="shared" si="24"/>
        <v>26394.866091995886</v>
      </c>
      <c r="G44" s="484">
        <f t="shared" si="25"/>
        <v>4911.3938625470082</v>
      </c>
      <c r="H44" s="453">
        <f t="shared" si="26"/>
        <v>4911.3938625470082</v>
      </c>
      <c r="I44" s="473">
        <f t="shared" si="0"/>
        <v>0</v>
      </c>
      <c r="J44" s="473"/>
      <c r="K44" s="485"/>
      <c r="L44" s="476">
        <f t="shared" si="1"/>
        <v>0</v>
      </c>
      <c r="M44" s="485"/>
      <c r="N44" s="476">
        <f t="shared" si="2"/>
        <v>0</v>
      </c>
      <c r="O44" s="476">
        <f t="shared" si="3"/>
        <v>0</v>
      </c>
      <c r="P44" s="241"/>
    </row>
    <row r="45" spans="2:16">
      <c r="B45" s="160" t="str">
        <f t="shared" si="4"/>
        <v/>
      </c>
      <c r="C45" s="470">
        <f>IF(D11="","-",+C44+1)</f>
        <v>2035</v>
      </c>
      <c r="D45" s="483">
        <f>IF(F44+SUM(E$17:E44)=D$10,F44,D$10-SUM(E$17:E44))</f>
        <v>26394.866091995886</v>
      </c>
      <c r="E45" s="482">
        <f>IF(+I14&lt;F44,I14,D45)</f>
        <v>1909.2368421052631</v>
      </c>
      <c r="F45" s="483">
        <f t="shared" si="24"/>
        <v>24485.629249890622</v>
      </c>
      <c r="G45" s="484">
        <f t="shared" si="25"/>
        <v>4694.2369059920939</v>
      </c>
      <c r="H45" s="453">
        <f t="shared" si="26"/>
        <v>4694.2369059920939</v>
      </c>
      <c r="I45" s="473">
        <f t="shared" si="0"/>
        <v>0</v>
      </c>
      <c r="J45" s="473"/>
      <c r="K45" s="485"/>
      <c r="L45" s="476">
        <f t="shared" si="1"/>
        <v>0</v>
      </c>
      <c r="M45" s="485"/>
      <c r="N45" s="476">
        <f t="shared" si="2"/>
        <v>0</v>
      </c>
      <c r="O45" s="476">
        <f t="shared" si="3"/>
        <v>0</v>
      </c>
      <c r="P45" s="241"/>
    </row>
    <row r="46" spans="2:16">
      <c r="B46" s="160" t="str">
        <f t="shared" si="4"/>
        <v/>
      </c>
      <c r="C46" s="470">
        <f>IF(D11="","-",+C45+1)</f>
        <v>2036</v>
      </c>
      <c r="D46" s="483">
        <f>IF(F45+SUM(E$17:E45)=D$10,F45,D$10-SUM(E$17:E45))</f>
        <v>24485.629249890622</v>
      </c>
      <c r="E46" s="482">
        <f>IF(+I14&lt;F45,I14,D46)</f>
        <v>1909.2368421052631</v>
      </c>
      <c r="F46" s="483">
        <f t="shared" si="24"/>
        <v>22576.392407785359</v>
      </c>
      <c r="G46" s="484">
        <f t="shared" si="25"/>
        <v>4477.0799494371786</v>
      </c>
      <c r="H46" s="453">
        <f t="shared" si="26"/>
        <v>4477.0799494371786</v>
      </c>
      <c r="I46" s="473">
        <f t="shared" si="0"/>
        <v>0</v>
      </c>
      <c r="J46" s="473"/>
      <c r="K46" s="485"/>
      <c r="L46" s="476">
        <f t="shared" si="1"/>
        <v>0</v>
      </c>
      <c r="M46" s="485"/>
      <c r="N46" s="476">
        <f t="shared" si="2"/>
        <v>0</v>
      </c>
      <c r="O46" s="476">
        <f t="shared" si="3"/>
        <v>0</v>
      </c>
      <c r="P46" s="241"/>
    </row>
    <row r="47" spans="2:16">
      <c r="B47" s="160" t="str">
        <f t="shared" si="4"/>
        <v/>
      </c>
      <c r="C47" s="470">
        <f>IF(D11="","-",+C46+1)</f>
        <v>2037</v>
      </c>
      <c r="D47" s="483">
        <f>IF(F46+SUM(E$17:E46)=D$10,F46,D$10-SUM(E$17:E46))</f>
        <v>22576.392407785359</v>
      </c>
      <c r="E47" s="482">
        <f>IF(+I14&lt;F46,I14,D47)</f>
        <v>1909.2368421052631</v>
      </c>
      <c r="F47" s="483">
        <f t="shared" si="24"/>
        <v>20667.155565680096</v>
      </c>
      <c r="G47" s="484">
        <f t="shared" si="25"/>
        <v>4259.9229928822642</v>
      </c>
      <c r="H47" s="453">
        <f t="shared" si="26"/>
        <v>4259.9229928822642</v>
      </c>
      <c r="I47" s="473">
        <f t="shared" si="0"/>
        <v>0</v>
      </c>
      <c r="J47" s="473"/>
      <c r="K47" s="485"/>
      <c r="L47" s="476">
        <f t="shared" si="1"/>
        <v>0</v>
      </c>
      <c r="M47" s="485"/>
      <c r="N47" s="476">
        <f t="shared" si="2"/>
        <v>0</v>
      </c>
      <c r="O47" s="476">
        <f t="shared" si="3"/>
        <v>0</v>
      </c>
      <c r="P47" s="241"/>
    </row>
    <row r="48" spans="2:16">
      <c r="B48" s="160" t="str">
        <f t="shared" si="4"/>
        <v/>
      </c>
      <c r="C48" s="470">
        <f>IF(D11="","-",+C47+1)</f>
        <v>2038</v>
      </c>
      <c r="D48" s="483">
        <f>IF(F47+SUM(E$17:E47)=D$10,F47,D$10-SUM(E$17:E47))</f>
        <v>20667.155565680096</v>
      </c>
      <c r="E48" s="482">
        <f>IF(+I14&lt;F47,I14,D48)</f>
        <v>1909.2368421052631</v>
      </c>
      <c r="F48" s="483">
        <f t="shared" si="24"/>
        <v>18757.918723574832</v>
      </c>
      <c r="G48" s="484">
        <f t="shared" si="25"/>
        <v>4042.766036327349</v>
      </c>
      <c r="H48" s="453">
        <f t="shared" si="26"/>
        <v>4042.766036327349</v>
      </c>
      <c r="I48" s="473">
        <f t="shared" si="0"/>
        <v>0</v>
      </c>
      <c r="J48" s="473"/>
      <c r="K48" s="485"/>
      <c r="L48" s="476">
        <f t="shared" si="1"/>
        <v>0</v>
      </c>
      <c r="M48" s="485"/>
      <c r="N48" s="476">
        <f t="shared" si="2"/>
        <v>0</v>
      </c>
      <c r="O48" s="476">
        <f t="shared" si="3"/>
        <v>0</v>
      </c>
      <c r="P48" s="241"/>
    </row>
    <row r="49" spans="2:16">
      <c r="B49" s="160" t="str">
        <f t="shared" si="4"/>
        <v/>
      </c>
      <c r="C49" s="470">
        <f>IF(D11="","-",+C48+1)</f>
        <v>2039</v>
      </c>
      <c r="D49" s="483">
        <f>IF(F48+SUM(E$17:E48)=D$10,F48,D$10-SUM(E$17:E48))</f>
        <v>18757.918723574832</v>
      </c>
      <c r="E49" s="482">
        <f>IF(+I14&lt;F48,I14,D49)</f>
        <v>1909.2368421052631</v>
      </c>
      <c r="F49" s="483">
        <f t="shared" ref="F49:F72" si="27">+D49-E49</f>
        <v>16848.681881469569</v>
      </c>
      <c r="G49" s="484">
        <f t="shared" si="25"/>
        <v>3825.6090797724346</v>
      </c>
      <c r="H49" s="453">
        <f t="shared" si="26"/>
        <v>3825.6090797724346</v>
      </c>
      <c r="I49" s="473">
        <f t="shared" ref="I49:I72" si="28">H49-G49</f>
        <v>0</v>
      </c>
      <c r="J49" s="473"/>
      <c r="K49" s="485"/>
      <c r="L49" s="476">
        <f t="shared" ref="L49:L72" si="29">IF(K49&lt;&gt;0,+G49-K49,0)</f>
        <v>0</v>
      </c>
      <c r="M49" s="485"/>
      <c r="N49" s="476">
        <f t="shared" ref="N49:N72" si="30">IF(M49&lt;&gt;0,+H49-M49,0)</f>
        <v>0</v>
      </c>
      <c r="O49" s="476">
        <f t="shared" ref="O49:O72" si="31">+N49-L49</f>
        <v>0</v>
      </c>
      <c r="P49" s="241"/>
    </row>
    <row r="50" spans="2:16">
      <c r="B50" s="160" t="str">
        <f t="shared" si="4"/>
        <v/>
      </c>
      <c r="C50" s="470">
        <f>IF(D11="","-",+C49+1)</f>
        <v>2040</v>
      </c>
      <c r="D50" s="483">
        <f>IF(F49+SUM(E$17:E49)=D$10,F49,D$10-SUM(E$17:E49))</f>
        <v>16848.681881469569</v>
      </c>
      <c r="E50" s="482">
        <f>IF(+I14&lt;F49,I14,D50)</f>
        <v>1909.2368421052631</v>
      </c>
      <c r="F50" s="483">
        <f t="shared" si="27"/>
        <v>14939.445039364306</v>
      </c>
      <c r="G50" s="484">
        <f t="shared" si="25"/>
        <v>3608.4521232175198</v>
      </c>
      <c r="H50" s="453">
        <f t="shared" si="26"/>
        <v>3608.4521232175198</v>
      </c>
      <c r="I50" s="473">
        <f t="shared" si="28"/>
        <v>0</v>
      </c>
      <c r="J50" s="473"/>
      <c r="K50" s="485"/>
      <c r="L50" s="476">
        <f t="shared" si="29"/>
        <v>0</v>
      </c>
      <c r="M50" s="485"/>
      <c r="N50" s="476">
        <f t="shared" si="30"/>
        <v>0</v>
      </c>
      <c r="O50" s="476">
        <f t="shared" si="31"/>
        <v>0</v>
      </c>
      <c r="P50" s="241"/>
    </row>
    <row r="51" spans="2:16">
      <c r="B51" s="160" t="str">
        <f t="shared" si="4"/>
        <v/>
      </c>
      <c r="C51" s="470">
        <f>IF(D11="","-",+C50+1)</f>
        <v>2041</v>
      </c>
      <c r="D51" s="483">
        <f>IF(F50+SUM(E$17:E50)=D$10,F50,D$10-SUM(E$17:E50))</f>
        <v>14939.445039364306</v>
      </c>
      <c r="E51" s="482">
        <f>IF(+I14&lt;F50,I14,D51)</f>
        <v>1909.2368421052631</v>
      </c>
      <c r="F51" s="483">
        <f t="shared" si="27"/>
        <v>13030.208197259042</v>
      </c>
      <c r="G51" s="484">
        <f t="shared" si="25"/>
        <v>3391.295166662605</v>
      </c>
      <c r="H51" s="453">
        <f t="shared" si="26"/>
        <v>3391.295166662605</v>
      </c>
      <c r="I51" s="473">
        <f t="shared" si="28"/>
        <v>0</v>
      </c>
      <c r="J51" s="473"/>
      <c r="K51" s="485"/>
      <c r="L51" s="476">
        <f t="shared" si="29"/>
        <v>0</v>
      </c>
      <c r="M51" s="485"/>
      <c r="N51" s="476">
        <f t="shared" si="30"/>
        <v>0</v>
      </c>
      <c r="O51" s="476">
        <f t="shared" si="31"/>
        <v>0</v>
      </c>
      <c r="P51" s="241"/>
    </row>
    <row r="52" spans="2:16">
      <c r="B52" s="160" t="str">
        <f t="shared" si="4"/>
        <v/>
      </c>
      <c r="C52" s="470">
        <f>IF(D11="","-",+C51+1)</f>
        <v>2042</v>
      </c>
      <c r="D52" s="483">
        <f>IF(F51+SUM(E$17:E51)=D$10,F51,D$10-SUM(E$17:E51))</f>
        <v>13030.208197259042</v>
      </c>
      <c r="E52" s="482">
        <f>IF(+I14&lt;F51,I14,D52)</f>
        <v>1909.2368421052631</v>
      </c>
      <c r="F52" s="483">
        <f t="shared" si="27"/>
        <v>11120.971355153779</v>
      </c>
      <c r="G52" s="484">
        <f t="shared" si="25"/>
        <v>3174.1382101076902</v>
      </c>
      <c r="H52" s="453">
        <f t="shared" si="26"/>
        <v>3174.1382101076902</v>
      </c>
      <c r="I52" s="473">
        <f t="shared" si="28"/>
        <v>0</v>
      </c>
      <c r="J52" s="473"/>
      <c r="K52" s="485"/>
      <c r="L52" s="476">
        <f t="shared" si="29"/>
        <v>0</v>
      </c>
      <c r="M52" s="485"/>
      <c r="N52" s="476">
        <f t="shared" si="30"/>
        <v>0</v>
      </c>
      <c r="O52" s="476">
        <f t="shared" si="31"/>
        <v>0</v>
      </c>
      <c r="P52" s="241"/>
    </row>
    <row r="53" spans="2:16">
      <c r="B53" s="160" t="str">
        <f t="shared" si="4"/>
        <v/>
      </c>
      <c r="C53" s="470">
        <f>IF(D11="","-",+C52+1)</f>
        <v>2043</v>
      </c>
      <c r="D53" s="483">
        <f>IF(F52+SUM(E$17:E52)=D$10,F52,D$10-SUM(E$17:E52))</f>
        <v>11120.971355153779</v>
      </c>
      <c r="E53" s="482">
        <f>IF(+I14&lt;F52,I14,D53)</f>
        <v>1909.2368421052631</v>
      </c>
      <c r="F53" s="483">
        <f t="shared" si="27"/>
        <v>9211.7345130485155</v>
      </c>
      <c r="G53" s="484">
        <f t="shared" si="25"/>
        <v>2956.9812535527753</v>
      </c>
      <c r="H53" s="453">
        <f t="shared" si="26"/>
        <v>2956.9812535527753</v>
      </c>
      <c r="I53" s="473">
        <f t="shared" si="28"/>
        <v>0</v>
      </c>
      <c r="J53" s="473"/>
      <c r="K53" s="485"/>
      <c r="L53" s="476">
        <f t="shared" si="29"/>
        <v>0</v>
      </c>
      <c r="M53" s="485"/>
      <c r="N53" s="476">
        <f t="shared" si="30"/>
        <v>0</v>
      </c>
      <c r="O53" s="476">
        <f t="shared" si="31"/>
        <v>0</v>
      </c>
      <c r="P53" s="241"/>
    </row>
    <row r="54" spans="2:16">
      <c r="B54" s="160" t="str">
        <f t="shared" si="4"/>
        <v/>
      </c>
      <c r="C54" s="470">
        <f>IF(D11="","-",+C53+1)</f>
        <v>2044</v>
      </c>
      <c r="D54" s="483">
        <f>IF(F53+SUM(E$17:E53)=D$10,F53,D$10-SUM(E$17:E53))</f>
        <v>9211.7345130485155</v>
      </c>
      <c r="E54" s="482">
        <f>IF(+I14&lt;F53,I14,D54)</f>
        <v>1909.2368421052631</v>
      </c>
      <c r="F54" s="483">
        <f t="shared" si="27"/>
        <v>7302.4976709432522</v>
      </c>
      <c r="G54" s="484">
        <f t="shared" si="25"/>
        <v>2739.8242969978605</v>
      </c>
      <c r="H54" s="453">
        <f t="shared" si="26"/>
        <v>2739.8242969978605</v>
      </c>
      <c r="I54" s="473">
        <f t="shared" si="28"/>
        <v>0</v>
      </c>
      <c r="J54" s="473"/>
      <c r="K54" s="485"/>
      <c r="L54" s="476">
        <f t="shared" si="29"/>
        <v>0</v>
      </c>
      <c r="M54" s="485"/>
      <c r="N54" s="476">
        <f t="shared" si="30"/>
        <v>0</v>
      </c>
      <c r="O54" s="476">
        <f t="shared" si="31"/>
        <v>0</v>
      </c>
      <c r="P54" s="241"/>
    </row>
    <row r="55" spans="2:16">
      <c r="B55" s="160" t="str">
        <f t="shared" si="4"/>
        <v/>
      </c>
      <c r="C55" s="470">
        <f>IF(D11="","-",+C54+1)</f>
        <v>2045</v>
      </c>
      <c r="D55" s="483">
        <f>IF(F54+SUM(E$17:E54)=D$10,F54,D$10-SUM(E$17:E54))</f>
        <v>7302.4976709432522</v>
      </c>
      <c r="E55" s="482">
        <f>IF(+I14&lt;F54,I14,D55)</f>
        <v>1909.2368421052631</v>
      </c>
      <c r="F55" s="483">
        <f t="shared" si="27"/>
        <v>5393.2608288379888</v>
      </c>
      <c r="G55" s="484">
        <f t="shared" si="25"/>
        <v>2522.6673404429457</v>
      </c>
      <c r="H55" s="453">
        <f t="shared" si="26"/>
        <v>2522.6673404429457</v>
      </c>
      <c r="I55" s="473">
        <f t="shared" si="28"/>
        <v>0</v>
      </c>
      <c r="J55" s="473"/>
      <c r="K55" s="485"/>
      <c r="L55" s="476">
        <f t="shared" si="29"/>
        <v>0</v>
      </c>
      <c r="M55" s="485"/>
      <c r="N55" s="476">
        <f t="shared" si="30"/>
        <v>0</v>
      </c>
      <c r="O55" s="476">
        <f t="shared" si="31"/>
        <v>0</v>
      </c>
      <c r="P55" s="241"/>
    </row>
    <row r="56" spans="2:16">
      <c r="B56" s="160" t="str">
        <f t="shared" si="4"/>
        <v/>
      </c>
      <c r="C56" s="470">
        <f>IF(D11="","-",+C55+1)</f>
        <v>2046</v>
      </c>
      <c r="D56" s="483">
        <f>IF(F55+SUM(E$17:E55)=D$10,F55,D$10-SUM(E$17:E55))</f>
        <v>5393.2608288379888</v>
      </c>
      <c r="E56" s="482">
        <f>IF(+I14&lt;F55,I14,D56)</f>
        <v>1909.2368421052631</v>
      </c>
      <c r="F56" s="483">
        <f t="shared" si="27"/>
        <v>3484.0239867327255</v>
      </c>
      <c r="G56" s="484">
        <f t="shared" si="25"/>
        <v>2305.5103838880309</v>
      </c>
      <c r="H56" s="453">
        <f t="shared" si="26"/>
        <v>2305.5103838880309</v>
      </c>
      <c r="I56" s="473">
        <f t="shared" si="28"/>
        <v>0</v>
      </c>
      <c r="J56" s="473"/>
      <c r="K56" s="485"/>
      <c r="L56" s="476">
        <f t="shared" si="29"/>
        <v>0</v>
      </c>
      <c r="M56" s="485"/>
      <c r="N56" s="476">
        <f t="shared" si="30"/>
        <v>0</v>
      </c>
      <c r="O56" s="476">
        <f t="shared" si="31"/>
        <v>0</v>
      </c>
      <c r="P56" s="241"/>
    </row>
    <row r="57" spans="2:16">
      <c r="B57" s="160" t="str">
        <f t="shared" si="4"/>
        <v/>
      </c>
      <c r="C57" s="470">
        <f>IF(D11="","-",+C56+1)</f>
        <v>2047</v>
      </c>
      <c r="D57" s="483">
        <f>IF(F56+SUM(E$17:E56)=D$10,F56,D$10-SUM(E$17:E56))</f>
        <v>3484.0239867327255</v>
      </c>
      <c r="E57" s="482">
        <f>IF(+I14&lt;F56,I14,D57)</f>
        <v>1909.2368421052631</v>
      </c>
      <c r="F57" s="483">
        <f t="shared" si="27"/>
        <v>1574.7871446274623</v>
      </c>
      <c r="G57" s="484">
        <f t="shared" si="25"/>
        <v>2088.3534273331161</v>
      </c>
      <c r="H57" s="453">
        <f t="shared" si="26"/>
        <v>2088.3534273331161</v>
      </c>
      <c r="I57" s="473">
        <f t="shared" si="28"/>
        <v>0</v>
      </c>
      <c r="J57" s="473"/>
      <c r="K57" s="485"/>
      <c r="L57" s="476">
        <f t="shared" si="29"/>
        <v>0</v>
      </c>
      <c r="M57" s="485"/>
      <c r="N57" s="476">
        <f t="shared" si="30"/>
        <v>0</v>
      </c>
      <c r="O57" s="476">
        <f t="shared" si="31"/>
        <v>0</v>
      </c>
      <c r="P57" s="241"/>
    </row>
    <row r="58" spans="2:16">
      <c r="B58" s="160" t="str">
        <f t="shared" si="4"/>
        <v/>
      </c>
      <c r="C58" s="470">
        <f>IF(D11="","-",+C57+1)</f>
        <v>2048</v>
      </c>
      <c r="D58" s="483">
        <f>IF(F57+SUM(E$17:E57)=D$10,F57,D$10-SUM(E$17:E57))</f>
        <v>1574.7871446274623</v>
      </c>
      <c r="E58" s="482">
        <f>IF(+I14&lt;F57,I14,D58)</f>
        <v>1574.7871446274623</v>
      </c>
      <c r="F58" s="483">
        <f t="shared" si="27"/>
        <v>0</v>
      </c>
      <c r="G58" s="484">
        <f t="shared" si="25"/>
        <v>1574.7871446274623</v>
      </c>
      <c r="H58" s="453">
        <f t="shared" si="26"/>
        <v>1574.7871446274623</v>
      </c>
      <c r="I58" s="473">
        <f t="shared" si="28"/>
        <v>0</v>
      </c>
      <c r="J58" s="473"/>
      <c r="K58" s="485"/>
      <c r="L58" s="476">
        <f t="shared" si="29"/>
        <v>0</v>
      </c>
      <c r="M58" s="485"/>
      <c r="N58" s="476">
        <f t="shared" si="30"/>
        <v>0</v>
      </c>
      <c r="O58" s="476">
        <f t="shared" si="31"/>
        <v>0</v>
      </c>
      <c r="P58" s="241"/>
    </row>
    <row r="59" spans="2:16">
      <c r="B59" s="160" t="str">
        <f t="shared" si="4"/>
        <v/>
      </c>
      <c r="C59" s="470">
        <f>IF(D11="","-",+C58+1)</f>
        <v>2049</v>
      </c>
      <c r="D59" s="483">
        <f>IF(F58+SUM(E$17:E58)=D$10,F58,D$10-SUM(E$17:E58))</f>
        <v>0</v>
      </c>
      <c r="E59" s="482">
        <f>IF(+I14&lt;F58,I14,D59)</f>
        <v>0</v>
      </c>
      <c r="F59" s="483">
        <f t="shared" si="27"/>
        <v>0</v>
      </c>
      <c r="G59" s="484">
        <f t="shared" si="25"/>
        <v>0</v>
      </c>
      <c r="H59" s="453">
        <f t="shared" si="26"/>
        <v>0</v>
      </c>
      <c r="I59" s="473">
        <f t="shared" si="28"/>
        <v>0</v>
      </c>
      <c r="J59" s="473"/>
      <c r="K59" s="485"/>
      <c r="L59" s="476">
        <f t="shared" si="29"/>
        <v>0</v>
      </c>
      <c r="M59" s="485"/>
      <c r="N59" s="476">
        <f t="shared" si="30"/>
        <v>0</v>
      </c>
      <c r="O59" s="476">
        <f t="shared" si="31"/>
        <v>0</v>
      </c>
      <c r="P59" s="241"/>
    </row>
    <row r="60" spans="2:16">
      <c r="B60" s="160" t="str">
        <f t="shared" si="4"/>
        <v/>
      </c>
      <c r="C60" s="470">
        <f>IF(D11="","-",+C59+1)</f>
        <v>2050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7"/>
        <v>0</v>
      </c>
      <c r="G60" s="484">
        <f t="shared" si="25"/>
        <v>0</v>
      </c>
      <c r="H60" s="453">
        <f t="shared" si="26"/>
        <v>0</v>
      </c>
      <c r="I60" s="473">
        <f t="shared" si="28"/>
        <v>0</v>
      </c>
      <c r="J60" s="473"/>
      <c r="K60" s="485"/>
      <c r="L60" s="476">
        <f t="shared" si="29"/>
        <v>0</v>
      </c>
      <c r="M60" s="485"/>
      <c r="N60" s="476">
        <f t="shared" si="30"/>
        <v>0</v>
      </c>
      <c r="O60" s="476">
        <f t="shared" si="31"/>
        <v>0</v>
      </c>
      <c r="P60" s="241"/>
    </row>
    <row r="61" spans="2:16">
      <c r="B61" s="160" t="str">
        <f t="shared" si="4"/>
        <v/>
      </c>
      <c r="C61" s="470">
        <f>IF(D11="","-",+C60+1)</f>
        <v>2051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7"/>
        <v>0</v>
      </c>
      <c r="G61" s="486">
        <f t="shared" si="25"/>
        <v>0</v>
      </c>
      <c r="H61" s="453">
        <f t="shared" si="26"/>
        <v>0</v>
      </c>
      <c r="I61" s="473">
        <f t="shared" si="28"/>
        <v>0</v>
      </c>
      <c r="J61" s="473"/>
      <c r="K61" s="485"/>
      <c r="L61" s="476">
        <f t="shared" si="29"/>
        <v>0</v>
      </c>
      <c r="M61" s="485"/>
      <c r="N61" s="476">
        <f t="shared" si="30"/>
        <v>0</v>
      </c>
      <c r="O61" s="476">
        <f t="shared" si="31"/>
        <v>0</v>
      </c>
      <c r="P61" s="241"/>
    </row>
    <row r="62" spans="2:16">
      <c r="B62" s="160" t="str">
        <f t="shared" si="4"/>
        <v/>
      </c>
      <c r="C62" s="470">
        <f>IF(D11="","-",+C61+1)</f>
        <v>2052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7"/>
        <v>0</v>
      </c>
      <c r="G62" s="486">
        <f t="shared" si="25"/>
        <v>0</v>
      </c>
      <c r="H62" s="453">
        <f t="shared" si="26"/>
        <v>0</v>
      </c>
      <c r="I62" s="473">
        <f t="shared" si="28"/>
        <v>0</v>
      </c>
      <c r="J62" s="473"/>
      <c r="K62" s="485"/>
      <c r="L62" s="476">
        <f t="shared" si="29"/>
        <v>0</v>
      </c>
      <c r="M62" s="485"/>
      <c r="N62" s="476">
        <f t="shared" si="30"/>
        <v>0</v>
      </c>
      <c r="O62" s="476">
        <f t="shared" si="31"/>
        <v>0</v>
      </c>
      <c r="P62" s="241"/>
    </row>
    <row r="63" spans="2:16">
      <c r="B63" s="160" t="str">
        <f t="shared" si="4"/>
        <v/>
      </c>
      <c r="C63" s="470">
        <f>IF(D11="","-",+C62+1)</f>
        <v>2053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7"/>
        <v>0</v>
      </c>
      <c r="G63" s="486">
        <f t="shared" si="25"/>
        <v>0</v>
      </c>
      <c r="H63" s="453">
        <f t="shared" si="26"/>
        <v>0</v>
      </c>
      <c r="I63" s="473">
        <f t="shared" si="28"/>
        <v>0</v>
      </c>
      <c r="J63" s="473"/>
      <c r="K63" s="485"/>
      <c r="L63" s="476">
        <f t="shared" si="29"/>
        <v>0</v>
      </c>
      <c r="M63" s="485"/>
      <c r="N63" s="476">
        <f t="shared" si="30"/>
        <v>0</v>
      </c>
      <c r="O63" s="476">
        <f t="shared" si="31"/>
        <v>0</v>
      </c>
      <c r="P63" s="241"/>
    </row>
    <row r="64" spans="2:16">
      <c r="B64" s="160" t="str">
        <f t="shared" si="4"/>
        <v/>
      </c>
      <c r="C64" s="470">
        <f>IF(D11="","-",+C63+1)</f>
        <v>2054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7"/>
        <v>0</v>
      </c>
      <c r="G64" s="486">
        <f t="shared" si="25"/>
        <v>0</v>
      </c>
      <c r="H64" s="453">
        <f t="shared" si="26"/>
        <v>0</v>
      </c>
      <c r="I64" s="473">
        <f t="shared" si="28"/>
        <v>0</v>
      </c>
      <c r="J64" s="473"/>
      <c r="K64" s="485"/>
      <c r="L64" s="476">
        <f t="shared" si="29"/>
        <v>0</v>
      </c>
      <c r="M64" s="485"/>
      <c r="N64" s="476">
        <f t="shared" si="30"/>
        <v>0</v>
      </c>
      <c r="O64" s="476">
        <f t="shared" si="31"/>
        <v>0</v>
      </c>
      <c r="P64" s="241"/>
    </row>
    <row r="65" spans="2:16">
      <c r="B65" s="160" t="str">
        <f t="shared" si="4"/>
        <v/>
      </c>
      <c r="C65" s="470">
        <f>IF(D11="","-",+C64+1)</f>
        <v>2055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7"/>
        <v>0</v>
      </c>
      <c r="G65" s="486">
        <f t="shared" si="25"/>
        <v>0</v>
      </c>
      <c r="H65" s="453">
        <f t="shared" si="26"/>
        <v>0</v>
      </c>
      <c r="I65" s="473">
        <f t="shared" si="28"/>
        <v>0</v>
      </c>
      <c r="J65" s="473"/>
      <c r="K65" s="485"/>
      <c r="L65" s="476">
        <f t="shared" si="29"/>
        <v>0</v>
      </c>
      <c r="M65" s="485"/>
      <c r="N65" s="476">
        <f t="shared" si="30"/>
        <v>0</v>
      </c>
      <c r="O65" s="476">
        <f t="shared" si="31"/>
        <v>0</v>
      </c>
      <c r="P65" s="241"/>
    </row>
    <row r="66" spans="2:16">
      <c r="B66" s="160" t="str">
        <f t="shared" si="4"/>
        <v/>
      </c>
      <c r="C66" s="470">
        <f>IF(D11="","-",+C65+1)</f>
        <v>2056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7"/>
        <v>0</v>
      </c>
      <c r="G66" s="486">
        <f t="shared" si="25"/>
        <v>0</v>
      </c>
      <c r="H66" s="453">
        <f t="shared" si="26"/>
        <v>0</v>
      </c>
      <c r="I66" s="473">
        <f t="shared" si="28"/>
        <v>0</v>
      </c>
      <c r="J66" s="473"/>
      <c r="K66" s="485"/>
      <c r="L66" s="476">
        <f t="shared" si="29"/>
        <v>0</v>
      </c>
      <c r="M66" s="485"/>
      <c r="N66" s="476">
        <f t="shared" si="30"/>
        <v>0</v>
      </c>
      <c r="O66" s="476">
        <f t="shared" si="31"/>
        <v>0</v>
      </c>
      <c r="P66" s="241"/>
    </row>
    <row r="67" spans="2:16">
      <c r="B67" s="160" t="str">
        <f t="shared" si="4"/>
        <v/>
      </c>
      <c r="C67" s="470">
        <f>IF(D11="","-",+C66+1)</f>
        <v>2057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7"/>
        <v>0</v>
      </c>
      <c r="G67" s="486">
        <f t="shared" si="25"/>
        <v>0</v>
      </c>
      <c r="H67" s="453">
        <f t="shared" si="26"/>
        <v>0</v>
      </c>
      <c r="I67" s="473">
        <f t="shared" si="28"/>
        <v>0</v>
      </c>
      <c r="J67" s="473"/>
      <c r="K67" s="485"/>
      <c r="L67" s="476">
        <f t="shared" si="29"/>
        <v>0</v>
      </c>
      <c r="M67" s="485"/>
      <c r="N67" s="476">
        <f t="shared" si="30"/>
        <v>0</v>
      </c>
      <c r="O67" s="476">
        <f t="shared" si="31"/>
        <v>0</v>
      </c>
      <c r="P67" s="241"/>
    </row>
    <row r="68" spans="2:16">
      <c r="B68" s="160" t="str">
        <f t="shared" si="4"/>
        <v/>
      </c>
      <c r="C68" s="470">
        <f>IF(D11="","-",+C67+1)</f>
        <v>2058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7"/>
        <v>0</v>
      </c>
      <c r="G68" s="486">
        <f t="shared" si="25"/>
        <v>0</v>
      </c>
      <c r="H68" s="453">
        <f t="shared" si="26"/>
        <v>0</v>
      </c>
      <c r="I68" s="473">
        <f t="shared" si="28"/>
        <v>0</v>
      </c>
      <c r="J68" s="473"/>
      <c r="K68" s="485"/>
      <c r="L68" s="476">
        <f t="shared" si="29"/>
        <v>0</v>
      </c>
      <c r="M68" s="485"/>
      <c r="N68" s="476">
        <f t="shared" si="30"/>
        <v>0</v>
      </c>
      <c r="O68" s="476">
        <f t="shared" si="31"/>
        <v>0</v>
      </c>
      <c r="P68" s="241"/>
    </row>
    <row r="69" spans="2:16">
      <c r="B69" s="160" t="str">
        <f t="shared" si="4"/>
        <v/>
      </c>
      <c r="C69" s="470">
        <f>IF(D11="","-",+C68+1)</f>
        <v>2059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7"/>
        <v>0</v>
      </c>
      <c r="G69" s="486">
        <f t="shared" si="25"/>
        <v>0</v>
      </c>
      <c r="H69" s="453">
        <f t="shared" si="26"/>
        <v>0</v>
      </c>
      <c r="I69" s="473">
        <f t="shared" si="28"/>
        <v>0</v>
      </c>
      <c r="J69" s="473"/>
      <c r="K69" s="485"/>
      <c r="L69" s="476">
        <f t="shared" si="29"/>
        <v>0</v>
      </c>
      <c r="M69" s="485"/>
      <c r="N69" s="476">
        <f t="shared" si="30"/>
        <v>0</v>
      </c>
      <c r="O69" s="476">
        <f t="shared" si="31"/>
        <v>0</v>
      </c>
      <c r="P69" s="241"/>
    </row>
    <row r="70" spans="2:16">
      <c r="B70" s="160" t="str">
        <f t="shared" si="4"/>
        <v/>
      </c>
      <c r="C70" s="470">
        <f>IF(D11="","-",+C69+1)</f>
        <v>2060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7"/>
        <v>0</v>
      </c>
      <c r="G70" s="486">
        <f t="shared" si="25"/>
        <v>0</v>
      </c>
      <c r="H70" s="453">
        <f t="shared" si="26"/>
        <v>0</v>
      </c>
      <c r="I70" s="473">
        <f t="shared" si="28"/>
        <v>0</v>
      </c>
      <c r="J70" s="473"/>
      <c r="K70" s="485"/>
      <c r="L70" s="476">
        <f t="shared" si="29"/>
        <v>0</v>
      </c>
      <c r="M70" s="485"/>
      <c r="N70" s="476">
        <f t="shared" si="30"/>
        <v>0</v>
      </c>
      <c r="O70" s="476">
        <f t="shared" si="31"/>
        <v>0</v>
      </c>
      <c r="P70" s="241"/>
    </row>
    <row r="71" spans="2:16">
      <c r="B71" s="160" t="str">
        <f t="shared" si="4"/>
        <v/>
      </c>
      <c r="C71" s="470">
        <f>IF(D11="","-",+C70+1)</f>
        <v>2061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7"/>
        <v>0</v>
      </c>
      <c r="G71" s="486">
        <f t="shared" si="25"/>
        <v>0</v>
      </c>
      <c r="H71" s="453">
        <f t="shared" si="26"/>
        <v>0</v>
      </c>
      <c r="I71" s="473">
        <f t="shared" si="28"/>
        <v>0</v>
      </c>
      <c r="J71" s="473"/>
      <c r="K71" s="485"/>
      <c r="L71" s="476">
        <f t="shared" si="29"/>
        <v>0</v>
      </c>
      <c r="M71" s="485"/>
      <c r="N71" s="476">
        <f t="shared" si="30"/>
        <v>0</v>
      </c>
      <c r="O71" s="476">
        <f t="shared" si="31"/>
        <v>0</v>
      </c>
      <c r="P71" s="241"/>
    </row>
    <row r="72" spans="2:16" ht="13.5" thickBot="1">
      <c r="B72" s="160" t="str">
        <f t="shared" si="4"/>
        <v/>
      </c>
      <c r="C72" s="487">
        <f>IF(D11="","-",+C71+1)</f>
        <v>2062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7"/>
        <v>0</v>
      </c>
      <c r="G72" s="490">
        <f t="shared" si="25"/>
        <v>0</v>
      </c>
      <c r="H72" s="433">
        <f t="shared" si="26"/>
        <v>0</v>
      </c>
      <c r="I72" s="491">
        <f t="shared" si="28"/>
        <v>0</v>
      </c>
      <c r="J72" s="473"/>
      <c r="K72" s="492"/>
      <c r="L72" s="493">
        <f t="shared" si="29"/>
        <v>0</v>
      </c>
      <c r="M72" s="492"/>
      <c r="N72" s="493">
        <f t="shared" si="30"/>
        <v>0</v>
      </c>
      <c r="O72" s="493">
        <f t="shared" si="31"/>
        <v>0</v>
      </c>
      <c r="P72" s="241"/>
    </row>
    <row r="73" spans="2:16">
      <c r="C73" s="345" t="s">
        <v>77</v>
      </c>
      <c r="D73" s="346"/>
      <c r="E73" s="346">
        <f>SUM(E17:E72)</f>
        <v>72550.999999999971</v>
      </c>
      <c r="F73" s="346"/>
      <c r="G73" s="346">
        <f>SUM(G17:G72)</f>
        <v>272924.10004477098</v>
      </c>
      <c r="H73" s="346">
        <f>SUM(H17:H72)</f>
        <v>272924.10004477098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95" t="str">
        <f ca="1">P1</f>
        <v>PSO Project 9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7037.8367110732015</v>
      </c>
      <c r="N87" s="506">
        <f>IF(J92&lt;D11,0,VLOOKUP(J92,C17:O72,11))</f>
        <v>7037.8367110732015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7423.1221436915575</v>
      </c>
      <c r="N88" s="510">
        <f>IF(J92&lt;D11,0,VLOOKUP(J92,C99:P154,7))</f>
        <v>7423.1221436915575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Tulsa Southeast Upgrade (repl switches)*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385.28543261835603</v>
      </c>
      <c r="N89" s="515">
        <f>+N88-N87</f>
        <v>385.28543261835603</v>
      </c>
      <c r="O89" s="516">
        <f>+O88-O87</f>
        <v>0</v>
      </c>
      <c r="P89" s="231"/>
    </row>
    <row r="90" spans="1:16" ht="13.5" thickBot="1">
      <c r="C90" s="494"/>
      <c r="D90" s="517" t="str">
        <f>D8</f>
        <v>DOES NOT MEET SPP $100,000 MINIMUM INVESTMENT FOR REGIONAL BPU SHARING.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TP2004033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445">
        <v>72551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f>IF(D11=I10,"",D11)</f>
        <v>2007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f>IF(D11=I10,"",D12)</f>
        <v>4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1770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59" t="s">
        <v>211</v>
      </c>
      <c r="M97" s="461" t="s">
        <v>99</v>
      </c>
      <c r="N97" s="459" t="s">
        <v>211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2007</v>
      </c>
      <c r="D99" s="471">
        <v>0</v>
      </c>
      <c r="E99" s="478">
        <v>0</v>
      </c>
      <c r="F99" s="477">
        <v>72551</v>
      </c>
      <c r="G99" s="535">
        <v>36276</v>
      </c>
      <c r="H99" s="536">
        <v>5762</v>
      </c>
      <c r="I99" s="537">
        <v>5762</v>
      </c>
      <c r="J99" s="476">
        <f t="shared" ref="J99:J130" si="32">+I99-H99</f>
        <v>0</v>
      </c>
      <c r="K99" s="476"/>
      <c r="L99" s="552">
        <v>0</v>
      </c>
      <c r="M99" s="475">
        <f t="shared" ref="M99:M130" si="33">IF(L99&lt;&gt;0,+H99-L99,0)</f>
        <v>0</v>
      </c>
      <c r="N99" s="552">
        <v>0</v>
      </c>
      <c r="O99" s="475">
        <f t="shared" ref="O99:O130" si="34">IF(N99&lt;&gt;0,+I99-N99,0)</f>
        <v>0</v>
      </c>
      <c r="P99" s="475">
        <f t="shared" ref="P99:P130" si="35">+O99-M99</f>
        <v>0</v>
      </c>
    </row>
    <row r="100" spans="1:16">
      <c r="B100" s="160" t="str">
        <f>IF(D100=F99,"","IU")</f>
        <v/>
      </c>
      <c r="C100" s="470">
        <f>IF(D93="","-",+C99+1)</f>
        <v>2008</v>
      </c>
      <c r="D100" s="471">
        <v>72551</v>
      </c>
      <c r="E100" s="559">
        <v>1369</v>
      </c>
      <c r="F100" s="477">
        <v>71182</v>
      </c>
      <c r="G100" s="477">
        <v>71867</v>
      </c>
      <c r="H100" s="478">
        <v>12785</v>
      </c>
      <c r="I100" s="479">
        <v>12785</v>
      </c>
      <c r="J100" s="476">
        <f t="shared" si="32"/>
        <v>0</v>
      </c>
      <c r="K100" s="476"/>
      <c r="L100" s="474">
        <v>12785</v>
      </c>
      <c r="M100" s="476">
        <f t="shared" si="33"/>
        <v>0</v>
      </c>
      <c r="N100" s="474">
        <v>12785</v>
      </c>
      <c r="O100" s="476">
        <f t="shared" si="34"/>
        <v>0</v>
      </c>
      <c r="P100" s="476">
        <f t="shared" si="35"/>
        <v>0</v>
      </c>
    </row>
    <row r="101" spans="1:16">
      <c r="B101" s="160" t="str">
        <f t="shared" ref="B101:B154" si="36">IF(D101=F100,"","IU")</f>
        <v/>
      </c>
      <c r="C101" s="470">
        <f>IF(D93="","-",+C100+1)</f>
        <v>2009</v>
      </c>
      <c r="D101" s="471">
        <v>71182</v>
      </c>
      <c r="E101" s="478">
        <v>1296</v>
      </c>
      <c r="F101" s="477">
        <v>69886</v>
      </c>
      <c r="G101" s="477">
        <v>70534</v>
      </c>
      <c r="H101" s="478">
        <v>11608.65494705257</v>
      </c>
      <c r="I101" s="479">
        <v>11608.65494705257</v>
      </c>
      <c r="J101" s="476">
        <f t="shared" si="32"/>
        <v>0</v>
      </c>
      <c r="K101" s="476"/>
      <c r="L101" s="538">
        <f t="shared" ref="L101:L106" si="37">H101</f>
        <v>11608.65494705257</v>
      </c>
      <c r="M101" s="539">
        <f t="shared" si="33"/>
        <v>0</v>
      </c>
      <c r="N101" s="538">
        <f t="shared" ref="N101:N106" si="38">I101</f>
        <v>11608.65494705257</v>
      </c>
      <c r="O101" s="476">
        <f t="shared" si="34"/>
        <v>0</v>
      </c>
      <c r="P101" s="476">
        <f t="shared" si="35"/>
        <v>0</v>
      </c>
    </row>
    <row r="102" spans="1:16">
      <c r="B102" s="160" t="str">
        <f t="shared" si="36"/>
        <v/>
      </c>
      <c r="C102" s="470">
        <f>IF(D93="","-",+C101+1)</f>
        <v>2010</v>
      </c>
      <c r="D102" s="471">
        <v>69886</v>
      </c>
      <c r="E102" s="478">
        <v>1423</v>
      </c>
      <c r="F102" s="477">
        <v>68463</v>
      </c>
      <c r="G102" s="477">
        <v>69174.5</v>
      </c>
      <c r="H102" s="478">
        <v>12547.312556925655</v>
      </c>
      <c r="I102" s="479">
        <v>12547.312556925655</v>
      </c>
      <c r="J102" s="476">
        <f t="shared" si="32"/>
        <v>0</v>
      </c>
      <c r="K102" s="476"/>
      <c r="L102" s="538">
        <f t="shared" si="37"/>
        <v>12547.312556925655</v>
      </c>
      <c r="M102" s="539">
        <f t="shared" si="33"/>
        <v>0</v>
      </c>
      <c r="N102" s="538">
        <f t="shared" si="38"/>
        <v>12547.312556925655</v>
      </c>
      <c r="O102" s="476">
        <f t="shared" si="34"/>
        <v>0</v>
      </c>
      <c r="P102" s="476">
        <f t="shared" si="35"/>
        <v>0</v>
      </c>
    </row>
    <row r="103" spans="1:16">
      <c r="B103" s="160" t="str">
        <f t="shared" si="36"/>
        <v/>
      </c>
      <c r="C103" s="470">
        <f>IF(D93="","-",+C102+1)</f>
        <v>2011</v>
      </c>
      <c r="D103" s="471">
        <v>68463</v>
      </c>
      <c r="E103" s="478">
        <v>1395</v>
      </c>
      <c r="F103" s="477">
        <v>67068</v>
      </c>
      <c r="G103" s="477">
        <v>67765.5</v>
      </c>
      <c r="H103" s="478">
        <v>10869.52752826227</v>
      </c>
      <c r="I103" s="479">
        <v>10869.52752826227</v>
      </c>
      <c r="J103" s="476">
        <f t="shared" si="32"/>
        <v>0</v>
      </c>
      <c r="K103" s="476"/>
      <c r="L103" s="538">
        <f t="shared" si="37"/>
        <v>10869.52752826227</v>
      </c>
      <c r="M103" s="539">
        <f t="shared" si="33"/>
        <v>0</v>
      </c>
      <c r="N103" s="538">
        <f t="shared" si="38"/>
        <v>10869.52752826227</v>
      </c>
      <c r="O103" s="476">
        <f t="shared" si="34"/>
        <v>0</v>
      </c>
      <c r="P103" s="476">
        <f t="shared" si="35"/>
        <v>0</v>
      </c>
    </row>
    <row r="104" spans="1:16">
      <c r="B104" s="160" t="str">
        <f t="shared" si="36"/>
        <v/>
      </c>
      <c r="C104" s="470">
        <f>IF(D93="","-",+C103+1)</f>
        <v>2012</v>
      </c>
      <c r="D104" s="471">
        <v>67068</v>
      </c>
      <c r="E104" s="478">
        <v>1395</v>
      </c>
      <c r="F104" s="477">
        <v>65673</v>
      </c>
      <c r="G104" s="477">
        <v>66370.5</v>
      </c>
      <c r="H104" s="478">
        <v>10942.760254640152</v>
      </c>
      <c r="I104" s="479">
        <v>10942.760254640152</v>
      </c>
      <c r="J104" s="476">
        <v>0</v>
      </c>
      <c r="K104" s="476"/>
      <c r="L104" s="538">
        <f t="shared" si="37"/>
        <v>10942.760254640152</v>
      </c>
      <c r="M104" s="539">
        <f t="shared" ref="M104:M109" si="39">IF(L104&lt;&gt;0,+H104-L104,0)</f>
        <v>0</v>
      </c>
      <c r="N104" s="538">
        <f t="shared" si="38"/>
        <v>10942.760254640152</v>
      </c>
      <c r="O104" s="476">
        <f t="shared" ref="O104:O109" si="40">IF(N104&lt;&gt;0,+I104-N104,0)</f>
        <v>0</v>
      </c>
      <c r="P104" s="476">
        <f t="shared" ref="P104:P109" si="41">+O104-M104</f>
        <v>0</v>
      </c>
    </row>
    <row r="105" spans="1:16">
      <c r="B105" s="160" t="str">
        <f t="shared" si="36"/>
        <v/>
      </c>
      <c r="C105" s="470">
        <f>IF(D93="","-",+C104+1)</f>
        <v>2013</v>
      </c>
      <c r="D105" s="471">
        <v>65673</v>
      </c>
      <c r="E105" s="478">
        <v>1395</v>
      </c>
      <c r="F105" s="477">
        <v>64278</v>
      </c>
      <c r="G105" s="477">
        <v>64975.5</v>
      </c>
      <c r="H105" s="478">
        <v>10747.547086020993</v>
      </c>
      <c r="I105" s="479">
        <v>10747.547086020993</v>
      </c>
      <c r="J105" s="476">
        <v>0</v>
      </c>
      <c r="K105" s="476"/>
      <c r="L105" s="538">
        <f t="shared" si="37"/>
        <v>10747.547086020993</v>
      </c>
      <c r="M105" s="539">
        <f t="shared" si="39"/>
        <v>0</v>
      </c>
      <c r="N105" s="538">
        <f t="shared" si="38"/>
        <v>10747.547086020993</v>
      </c>
      <c r="O105" s="476">
        <f t="shared" si="40"/>
        <v>0</v>
      </c>
      <c r="P105" s="476">
        <f t="shared" si="41"/>
        <v>0</v>
      </c>
    </row>
    <row r="106" spans="1:16">
      <c r="B106" s="160" t="str">
        <f t="shared" si="36"/>
        <v/>
      </c>
      <c r="C106" s="470">
        <f>IF(D93="","-",+C105+1)</f>
        <v>2014</v>
      </c>
      <c r="D106" s="471">
        <v>64278</v>
      </c>
      <c r="E106" s="478">
        <v>1395</v>
      </c>
      <c r="F106" s="477">
        <v>62883</v>
      </c>
      <c r="G106" s="477">
        <v>63580.5</v>
      </c>
      <c r="H106" s="478">
        <v>10334.158398344916</v>
      </c>
      <c r="I106" s="479">
        <v>10334.158398344916</v>
      </c>
      <c r="J106" s="476">
        <v>0</v>
      </c>
      <c r="K106" s="476"/>
      <c r="L106" s="538">
        <f t="shared" si="37"/>
        <v>10334.158398344916</v>
      </c>
      <c r="M106" s="539">
        <f t="shared" si="39"/>
        <v>0</v>
      </c>
      <c r="N106" s="538">
        <f t="shared" si="38"/>
        <v>10334.158398344916</v>
      </c>
      <c r="O106" s="476">
        <f t="shared" si="40"/>
        <v>0</v>
      </c>
      <c r="P106" s="476">
        <f t="shared" si="41"/>
        <v>0</v>
      </c>
    </row>
    <row r="107" spans="1:16">
      <c r="B107" s="160" t="str">
        <f t="shared" si="36"/>
        <v/>
      </c>
      <c r="C107" s="470">
        <f>IF(D93="","-",+C106+1)</f>
        <v>2015</v>
      </c>
      <c r="D107" s="471">
        <v>62883</v>
      </c>
      <c r="E107" s="478">
        <v>1395</v>
      </c>
      <c r="F107" s="477">
        <v>61488</v>
      </c>
      <c r="G107" s="477">
        <v>62185.5</v>
      </c>
      <c r="H107" s="478">
        <v>9879.7114789405332</v>
      </c>
      <c r="I107" s="479">
        <v>9879.7114789405332</v>
      </c>
      <c r="J107" s="476">
        <f t="shared" si="32"/>
        <v>0</v>
      </c>
      <c r="K107" s="476"/>
      <c r="L107" s="538">
        <f t="shared" ref="L107:L112" si="42">H107</f>
        <v>9879.7114789405332</v>
      </c>
      <c r="M107" s="539">
        <f t="shared" si="39"/>
        <v>0</v>
      </c>
      <c r="N107" s="538">
        <f t="shared" ref="N107:N112" si="43">I107</f>
        <v>9879.7114789405332</v>
      </c>
      <c r="O107" s="476">
        <f t="shared" si="40"/>
        <v>0</v>
      </c>
      <c r="P107" s="476">
        <f t="shared" si="41"/>
        <v>0</v>
      </c>
    </row>
    <row r="108" spans="1:16">
      <c r="B108" s="160" t="str">
        <f t="shared" si="36"/>
        <v/>
      </c>
      <c r="C108" s="470">
        <f>IF(D93="","-",+C107+1)</f>
        <v>2016</v>
      </c>
      <c r="D108" s="471">
        <v>61488</v>
      </c>
      <c r="E108" s="478">
        <v>1577</v>
      </c>
      <c r="F108" s="477">
        <v>59911</v>
      </c>
      <c r="G108" s="477">
        <v>60699.5</v>
      </c>
      <c r="H108" s="478">
        <v>9402.1214987986186</v>
      </c>
      <c r="I108" s="479">
        <v>9402.1214987986186</v>
      </c>
      <c r="J108" s="476">
        <f t="shared" si="32"/>
        <v>0</v>
      </c>
      <c r="K108" s="476"/>
      <c r="L108" s="538">
        <f t="shared" si="42"/>
        <v>9402.1214987986186</v>
      </c>
      <c r="M108" s="539">
        <f t="shared" si="39"/>
        <v>0</v>
      </c>
      <c r="N108" s="538">
        <f t="shared" si="43"/>
        <v>9402.1214987986186</v>
      </c>
      <c r="O108" s="476">
        <f t="shared" si="40"/>
        <v>0</v>
      </c>
      <c r="P108" s="476">
        <f t="shared" si="41"/>
        <v>0</v>
      </c>
    </row>
    <row r="109" spans="1:16">
      <c r="B109" s="160" t="str">
        <f t="shared" si="36"/>
        <v/>
      </c>
      <c r="C109" s="470">
        <f>IF(D93="","-",+C108+1)</f>
        <v>2017</v>
      </c>
      <c r="D109" s="471">
        <v>59911</v>
      </c>
      <c r="E109" s="478">
        <v>1577</v>
      </c>
      <c r="F109" s="477">
        <v>58334</v>
      </c>
      <c r="G109" s="477">
        <v>59122.5</v>
      </c>
      <c r="H109" s="478">
        <v>9076.8382024367129</v>
      </c>
      <c r="I109" s="479">
        <v>9076.8382024367129</v>
      </c>
      <c r="J109" s="476">
        <f t="shared" si="32"/>
        <v>0</v>
      </c>
      <c r="K109" s="476"/>
      <c r="L109" s="538">
        <f t="shared" si="42"/>
        <v>9076.8382024367129</v>
      </c>
      <c r="M109" s="539">
        <f t="shared" si="39"/>
        <v>0</v>
      </c>
      <c r="N109" s="538">
        <f t="shared" si="43"/>
        <v>9076.8382024367129</v>
      </c>
      <c r="O109" s="476">
        <f t="shared" si="40"/>
        <v>0</v>
      </c>
      <c r="P109" s="476">
        <f t="shared" si="41"/>
        <v>0</v>
      </c>
    </row>
    <row r="110" spans="1:16">
      <c r="B110" s="160" t="str">
        <f t="shared" si="36"/>
        <v/>
      </c>
      <c r="C110" s="470">
        <f>IF(D93="","-",+C109+1)</f>
        <v>2018</v>
      </c>
      <c r="D110" s="471">
        <v>58334</v>
      </c>
      <c r="E110" s="478">
        <v>1687</v>
      </c>
      <c r="F110" s="477">
        <v>56647</v>
      </c>
      <c r="G110" s="477">
        <v>57490.5</v>
      </c>
      <c r="H110" s="478">
        <v>7593.3191046629281</v>
      </c>
      <c r="I110" s="479">
        <v>7593.3191046629281</v>
      </c>
      <c r="J110" s="476">
        <f t="shared" si="32"/>
        <v>0</v>
      </c>
      <c r="K110" s="476"/>
      <c r="L110" s="538">
        <f t="shared" si="42"/>
        <v>7593.3191046629281</v>
      </c>
      <c r="M110" s="539">
        <f t="shared" ref="M110" si="44">IF(L110&lt;&gt;0,+H110-L110,0)</f>
        <v>0</v>
      </c>
      <c r="N110" s="538">
        <f t="shared" si="43"/>
        <v>7593.3191046629281</v>
      </c>
      <c r="O110" s="476">
        <f t="shared" ref="O110" si="45">IF(N110&lt;&gt;0,+I110-N110,0)</f>
        <v>0</v>
      </c>
      <c r="P110" s="476">
        <f t="shared" ref="P110" si="46">+O110-M110</f>
        <v>0</v>
      </c>
    </row>
    <row r="111" spans="1:16">
      <c r="B111" s="160" t="str">
        <f t="shared" si="36"/>
        <v/>
      </c>
      <c r="C111" s="470">
        <f>IF(D93="","-",+C110+1)</f>
        <v>2019</v>
      </c>
      <c r="D111" s="471">
        <v>56647</v>
      </c>
      <c r="E111" s="478">
        <v>1770</v>
      </c>
      <c r="F111" s="477">
        <v>54877</v>
      </c>
      <c r="G111" s="477">
        <v>55762</v>
      </c>
      <c r="H111" s="478">
        <v>7519.8443223081076</v>
      </c>
      <c r="I111" s="479">
        <v>7519.8443223081076</v>
      </c>
      <c r="J111" s="476">
        <f t="shared" si="32"/>
        <v>0</v>
      </c>
      <c r="K111" s="476"/>
      <c r="L111" s="538">
        <f t="shared" si="42"/>
        <v>7519.8443223081076</v>
      </c>
      <c r="M111" s="539">
        <f t="shared" ref="M111:M112" si="47">IF(L111&lt;&gt;0,+H111-L111,0)</f>
        <v>0</v>
      </c>
      <c r="N111" s="538">
        <f t="shared" si="43"/>
        <v>7519.8443223081076</v>
      </c>
      <c r="O111" s="476">
        <f t="shared" si="34"/>
        <v>0</v>
      </c>
      <c r="P111" s="476">
        <f t="shared" si="35"/>
        <v>0</v>
      </c>
    </row>
    <row r="112" spans="1:16">
      <c r="B112" s="160" t="str">
        <f t="shared" si="36"/>
        <v/>
      </c>
      <c r="C112" s="470">
        <f>IF(D93="","-",+C111+1)</f>
        <v>2020</v>
      </c>
      <c r="D112" s="471">
        <v>54877</v>
      </c>
      <c r="E112" s="478">
        <v>1687</v>
      </c>
      <c r="F112" s="477">
        <v>53190</v>
      </c>
      <c r="G112" s="477">
        <v>54033.5</v>
      </c>
      <c r="H112" s="478">
        <v>7916.9139971406776</v>
      </c>
      <c r="I112" s="479">
        <v>7916.9139971406776</v>
      </c>
      <c r="J112" s="476">
        <f t="shared" si="32"/>
        <v>0</v>
      </c>
      <c r="K112" s="476"/>
      <c r="L112" s="538">
        <f t="shared" si="42"/>
        <v>7916.9139971406776</v>
      </c>
      <c r="M112" s="539">
        <f t="shared" si="47"/>
        <v>0</v>
      </c>
      <c r="N112" s="538">
        <f t="shared" si="43"/>
        <v>7916.9139971406776</v>
      </c>
      <c r="O112" s="476">
        <f t="shared" si="34"/>
        <v>0</v>
      </c>
      <c r="P112" s="476">
        <f t="shared" si="35"/>
        <v>0</v>
      </c>
    </row>
    <row r="113" spans="2:16">
      <c r="B113" s="160" t="str">
        <f t="shared" si="36"/>
        <v/>
      </c>
      <c r="C113" s="470">
        <f>IF(D93="","-",+C112+1)</f>
        <v>2021</v>
      </c>
      <c r="D113" s="471">
        <v>53190</v>
      </c>
      <c r="E113" s="478">
        <v>1770</v>
      </c>
      <c r="F113" s="477">
        <v>51420</v>
      </c>
      <c r="G113" s="477">
        <v>52305</v>
      </c>
      <c r="H113" s="478">
        <v>7721.9320395107143</v>
      </c>
      <c r="I113" s="479">
        <v>7721.9320395107143</v>
      </c>
      <c r="J113" s="476">
        <f t="shared" si="32"/>
        <v>0</v>
      </c>
      <c r="K113" s="476"/>
      <c r="L113" s="538">
        <f t="shared" ref="L113" si="48">H113</f>
        <v>7721.9320395107143</v>
      </c>
      <c r="M113" s="539">
        <f t="shared" ref="M113" si="49">IF(L113&lt;&gt;0,+H113-L113,0)</f>
        <v>0</v>
      </c>
      <c r="N113" s="538">
        <f t="shared" ref="N113" si="50">I113</f>
        <v>7721.9320395107143</v>
      </c>
      <c r="O113" s="476">
        <f t="shared" ref="O113" si="51">IF(N113&lt;&gt;0,+I113-N113,0)</f>
        <v>0</v>
      </c>
      <c r="P113" s="476">
        <f t="shared" ref="P113" si="52">+O113-M113</f>
        <v>0</v>
      </c>
    </row>
    <row r="114" spans="2:16">
      <c r="B114" s="160" t="str">
        <f t="shared" si="36"/>
        <v/>
      </c>
      <c r="C114" s="631">
        <f>IF(D93="","-",+C113+1)</f>
        <v>2022</v>
      </c>
      <c r="D114" s="345">
        <v>51420</v>
      </c>
      <c r="E114" s="484">
        <v>1860</v>
      </c>
      <c r="F114" s="483">
        <v>49560</v>
      </c>
      <c r="G114" s="483">
        <v>50490</v>
      </c>
      <c r="H114" s="486">
        <v>7423.1221436915575</v>
      </c>
      <c r="I114" s="540">
        <v>7423.1221436915575</v>
      </c>
      <c r="J114" s="476">
        <f t="shared" si="32"/>
        <v>0</v>
      </c>
      <c r="K114" s="476"/>
      <c r="L114" s="485"/>
      <c r="M114" s="476">
        <f t="shared" si="33"/>
        <v>0</v>
      </c>
      <c r="N114" s="485"/>
      <c r="O114" s="476">
        <f t="shared" si="34"/>
        <v>0</v>
      </c>
      <c r="P114" s="476">
        <f t="shared" si="35"/>
        <v>0</v>
      </c>
    </row>
    <row r="115" spans="2:16">
      <c r="B115" s="160" t="str">
        <f t="shared" si="36"/>
        <v/>
      </c>
      <c r="C115" s="470">
        <f>IF(D93="","-",+C114+1)</f>
        <v>2023</v>
      </c>
      <c r="D115" s="345">
        <f>IF(F114+SUM(E$99:E114)=D$92,F114,D$92-SUM(E$99:E114))</f>
        <v>49560</v>
      </c>
      <c r="E115" s="484">
        <f>IF(+J96&lt;F114,J96,D115)</f>
        <v>1770</v>
      </c>
      <c r="F115" s="483">
        <f t="shared" ref="F115:F154" si="53">+D115-E115</f>
        <v>47790</v>
      </c>
      <c r="G115" s="483">
        <f t="shared" ref="G115:G154" si="54">+(F115+D115)/2</f>
        <v>48675</v>
      </c>
      <c r="H115" s="486">
        <f t="shared" ref="H115:H154" si="55">+J$94*G115+E115</f>
        <v>7308.8642008065008</v>
      </c>
      <c r="I115" s="540">
        <f t="shared" ref="I115:I154" si="56">+J$95*G115+E115</f>
        <v>7308.8642008065008</v>
      </c>
      <c r="J115" s="476">
        <f t="shared" si="32"/>
        <v>0</v>
      </c>
      <c r="K115" s="476"/>
      <c r="L115" s="485"/>
      <c r="M115" s="476">
        <f t="shared" si="33"/>
        <v>0</v>
      </c>
      <c r="N115" s="485"/>
      <c r="O115" s="476">
        <f t="shared" si="34"/>
        <v>0</v>
      </c>
      <c r="P115" s="476">
        <f t="shared" si="35"/>
        <v>0</v>
      </c>
    </row>
    <row r="116" spans="2:16">
      <c r="B116" s="160" t="str">
        <f t="shared" si="36"/>
        <v/>
      </c>
      <c r="C116" s="470">
        <f>IF(D93="","-",+C115+1)</f>
        <v>2024</v>
      </c>
      <c r="D116" s="345">
        <f>IF(F115+SUM(E$99:E115)=D$92,F115,D$92-SUM(E$99:E115))</f>
        <v>47790</v>
      </c>
      <c r="E116" s="484">
        <f>IF(+J96&lt;F115,J96,D116)</f>
        <v>1770</v>
      </c>
      <c r="F116" s="483">
        <f t="shared" si="53"/>
        <v>46020</v>
      </c>
      <c r="G116" s="483">
        <f t="shared" si="54"/>
        <v>46905</v>
      </c>
      <c r="H116" s="486">
        <f t="shared" si="55"/>
        <v>7107.4509571408098</v>
      </c>
      <c r="I116" s="540">
        <f t="shared" si="56"/>
        <v>7107.4509571408098</v>
      </c>
      <c r="J116" s="476">
        <f t="shared" si="32"/>
        <v>0</v>
      </c>
      <c r="K116" s="476"/>
      <c r="L116" s="485"/>
      <c r="M116" s="476">
        <f t="shared" si="33"/>
        <v>0</v>
      </c>
      <c r="N116" s="485"/>
      <c r="O116" s="476">
        <f t="shared" si="34"/>
        <v>0</v>
      </c>
      <c r="P116" s="476">
        <f t="shared" si="35"/>
        <v>0</v>
      </c>
    </row>
    <row r="117" spans="2:16">
      <c r="B117" s="160" t="str">
        <f t="shared" si="36"/>
        <v/>
      </c>
      <c r="C117" s="470">
        <f>IF(D93="","-",+C116+1)</f>
        <v>2025</v>
      </c>
      <c r="D117" s="345">
        <f>IF(F116+SUM(E$99:E116)=D$92,F116,D$92-SUM(E$99:E116))</f>
        <v>46020</v>
      </c>
      <c r="E117" s="484">
        <f>IF(+J96&lt;F116,J96,D117)</f>
        <v>1770</v>
      </c>
      <c r="F117" s="483">
        <f t="shared" si="53"/>
        <v>44250</v>
      </c>
      <c r="G117" s="483">
        <f t="shared" si="54"/>
        <v>45135</v>
      </c>
      <c r="H117" s="486">
        <f t="shared" si="55"/>
        <v>6906.0377134751188</v>
      </c>
      <c r="I117" s="540">
        <f t="shared" si="56"/>
        <v>6906.0377134751188</v>
      </c>
      <c r="J117" s="476">
        <f t="shared" si="32"/>
        <v>0</v>
      </c>
      <c r="K117" s="476"/>
      <c r="L117" s="485"/>
      <c r="M117" s="476">
        <f t="shared" si="33"/>
        <v>0</v>
      </c>
      <c r="N117" s="485"/>
      <c r="O117" s="476">
        <f t="shared" si="34"/>
        <v>0</v>
      </c>
      <c r="P117" s="476">
        <f t="shared" si="35"/>
        <v>0</v>
      </c>
    </row>
    <row r="118" spans="2:16">
      <c r="B118" s="160" t="str">
        <f t="shared" si="36"/>
        <v/>
      </c>
      <c r="C118" s="470">
        <f>IF(D93="","-",+C117+1)</f>
        <v>2026</v>
      </c>
      <c r="D118" s="345">
        <f>IF(F117+SUM(E$99:E117)=D$92,F117,D$92-SUM(E$99:E117))</f>
        <v>44250</v>
      </c>
      <c r="E118" s="484">
        <f>IF(+J96&lt;F117,J96,D118)</f>
        <v>1770</v>
      </c>
      <c r="F118" s="483">
        <f t="shared" si="53"/>
        <v>42480</v>
      </c>
      <c r="G118" s="483">
        <f t="shared" si="54"/>
        <v>43365</v>
      </c>
      <c r="H118" s="486">
        <f t="shared" si="55"/>
        <v>6704.6244698094279</v>
      </c>
      <c r="I118" s="540">
        <f t="shared" si="56"/>
        <v>6704.6244698094279</v>
      </c>
      <c r="J118" s="476">
        <f t="shared" si="32"/>
        <v>0</v>
      </c>
      <c r="K118" s="476"/>
      <c r="L118" s="485"/>
      <c r="M118" s="476">
        <f t="shared" si="33"/>
        <v>0</v>
      </c>
      <c r="N118" s="485"/>
      <c r="O118" s="476">
        <f t="shared" si="34"/>
        <v>0</v>
      </c>
      <c r="P118" s="476">
        <f t="shared" si="35"/>
        <v>0</v>
      </c>
    </row>
    <row r="119" spans="2:16">
      <c r="B119" s="160" t="str">
        <f t="shared" si="36"/>
        <v/>
      </c>
      <c r="C119" s="470">
        <f>IF(D93="","-",+C118+1)</f>
        <v>2027</v>
      </c>
      <c r="D119" s="345">
        <f>IF(F118+SUM(E$99:E118)=D$92,F118,D$92-SUM(E$99:E118))</f>
        <v>42480</v>
      </c>
      <c r="E119" s="484">
        <f>IF(+J96&lt;F118,J96,D119)</f>
        <v>1770</v>
      </c>
      <c r="F119" s="483">
        <f t="shared" si="53"/>
        <v>40710</v>
      </c>
      <c r="G119" s="483">
        <f t="shared" si="54"/>
        <v>41595</v>
      </c>
      <c r="H119" s="486">
        <f t="shared" si="55"/>
        <v>6503.2112261437369</v>
      </c>
      <c r="I119" s="540">
        <f t="shared" si="56"/>
        <v>6503.2112261437369</v>
      </c>
      <c r="J119" s="476">
        <f t="shared" si="32"/>
        <v>0</v>
      </c>
      <c r="K119" s="476"/>
      <c r="L119" s="485"/>
      <c r="M119" s="476">
        <f t="shared" si="33"/>
        <v>0</v>
      </c>
      <c r="N119" s="485"/>
      <c r="O119" s="476">
        <f t="shared" si="34"/>
        <v>0</v>
      </c>
      <c r="P119" s="476">
        <f t="shared" si="35"/>
        <v>0</v>
      </c>
    </row>
    <row r="120" spans="2:16">
      <c r="B120" s="160" t="str">
        <f t="shared" si="36"/>
        <v/>
      </c>
      <c r="C120" s="470">
        <f>IF(D93="","-",+C119+1)</f>
        <v>2028</v>
      </c>
      <c r="D120" s="345">
        <f>IF(F119+SUM(E$99:E119)=D$92,F119,D$92-SUM(E$99:E119))</f>
        <v>40710</v>
      </c>
      <c r="E120" s="484">
        <f>IF(+J96&lt;F119,J96,D120)</f>
        <v>1770</v>
      </c>
      <c r="F120" s="483">
        <f t="shared" si="53"/>
        <v>38940</v>
      </c>
      <c r="G120" s="483">
        <f t="shared" si="54"/>
        <v>39825</v>
      </c>
      <c r="H120" s="486">
        <f t="shared" si="55"/>
        <v>6301.7979824780459</v>
      </c>
      <c r="I120" s="540">
        <f t="shared" si="56"/>
        <v>6301.7979824780459</v>
      </c>
      <c r="J120" s="476">
        <f t="shared" si="32"/>
        <v>0</v>
      </c>
      <c r="K120" s="476"/>
      <c r="L120" s="485"/>
      <c r="M120" s="476">
        <f t="shared" si="33"/>
        <v>0</v>
      </c>
      <c r="N120" s="485"/>
      <c r="O120" s="476">
        <f t="shared" si="34"/>
        <v>0</v>
      </c>
      <c r="P120" s="476">
        <f t="shared" si="35"/>
        <v>0</v>
      </c>
    </row>
    <row r="121" spans="2:16">
      <c r="B121" s="160" t="str">
        <f t="shared" si="36"/>
        <v/>
      </c>
      <c r="C121" s="470">
        <f>IF(D93="","-",+C120+1)</f>
        <v>2029</v>
      </c>
      <c r="D121" s="345">
        <f>IF(F120+SUM(E$99:E120)=D$92,F120,D$92-SUM(E$99:E120))</f>
        <v>38940</v>
      </c>
      <c r="E121" s="484">
        <f>IF(+J96&lt;F120,J96,D121)</f>
        <v>1770</v>
      </c>
      <c r="F121" s="483">
        <f t="shared" si="53"/>
        <v>37170</v>
      </c>
      <c r="G121" s="483">
        <f t="shared" si="54"/>
        <v>38055</v>
      </c>
      <c r="H121" s="486">
        <f t="shared" si="55"/>
        <v>6100.384738812355</v>
      </c>
      <c r="I121" s="540">
        <f t="shared" si="56"/>
        <v>6100.384738812355</v>
      </c>
      <c r="J121" s="476">
        <f t="shared" si="32"/>
        <v>0</v>
      </c>
      <c r="K121" s="476"/>
      <c r="L121" s="485"/>
      <c r="M121" s="476">
        <f t="shared" si="33"/>
        <v>0</v>
      </c>
      <c r="N121" s="485"/>
      <c r="O121" s="476">
        <f t="shared" si="34"/>
        <v>0</v>
      </c>
      <c r="P121" s="476">
        <f t="shared" si="35"/>
        <v>0</v>
      </c>
    </row>
    <row r="122" spans="2:16">
      <c r="B122" s="160" t="str">
        <f t="shared" si="36"/>
        <v/>
      </c>
      <c r="C122" s="470">
        <f>IF(D93="","-",+C121+1)</f>
        <v>2030</v>
      </c>
      <c r="D122" s="345">
        <f>IF(F121+SUM(E$99:E121)=D$92,F121,D$92-SUM(E$99:E121))</f>
        <v>37170</v>
      </c>
      <c r="E122" s="484">
        <f>IF(+J96&lt;F121,J96,D122)</f>
        <v>1770</v>
      </c>
      <c r="F122" s="483">
        <f t="shared" si="53"/>
        <v>35400</v>
      </c>
      <c r="G122" s="483">
        <f t="shared" si="54"/>
        <v>36285</v>
      </c>
      <c r="H122" s="486">
        <f t="shared" si="55"/>
        <v>5898.971495146664</v>
      </c>
      <c r="I122" s="540">
        <f t="shared" si="56"/>
        <v>5898.971495146664</v>
      </c>
      <c r="J122" s="476">
        <f t="shared" si="32"/>
        <v>0</v>
      </c>
      <c r="K122" s="476"/>
      <c r="L122" s="485"/>
      <c r="M122" s="476">
        <f t="shared" si="33"/>
        <v>0</v>
      </c>
      <c r="N122" s="485"/>
      <c r="O122" s="476">
        <f t="shared" si="34"/>
        <v>0</v>
      </c>
      <c r="P122" s="476">
        <f t="shared" si="35"/>
        <v>0</v>
      </c>
    </row>
    <row r="123" spans="2:16">
      <c r="B123" s="160" t="str">
        <f t="shared" si="36"/>
        <v/>
      </c>
      <c r="C123" s="470">
        <f>IF(D93="","-",+C122+1)</f>
        <v>2031</v>
      </c>
      <c r="D123" s="345">
        <f>IF(F122+SUM(E$99:E122)=D$92,F122,D$92-SUM(E$99:E122))</f>
        <v>35400</v>
      </c>
      <c r="E123" s="484">
        <f>IF(+J96&lt;F122,J96,D123)</f>
        <v>1770</v>
      </c>
      <c r="F123" s="483">
        <f t="shared" si="53"/>
        <v>33630</v>
      </c>
      <c r="G123" s="483">
        <f t="shared" si="54"/>
        <v>34515</v>
      </c>
      <c r="H123" s="486">
        <f t="shared" si="55"/>
        <v>5697.5582514809739</v>
      </c>
      <c r="I123" s="540">
        <f t="shared" si="56"/>
        <v>5697.5582514809739</v>
      </c>
      <c r="J123" s="476">
        <f t="shared" si="32"/>
        <v>0</v>
      </c>
      <c r="K123" s="476"/>
      <c r="L123" s="485"/>
      <c r="M123" s="476">
        <f t="shared" si="33"/>
        <v>0</v>
      </c>
      <c r="N123" s="485"/>
      <c r="O123" s="476">
        <f t="shared" si="34"/>
        <v>0</v>
      </c>
      <c r="P123" s="476">
        <f t="shared" si="35"/>
        <v>0</v>
      </c>
    </row>
    <row r="124" spans="2:16">
      <c r="B124" s="160" t="str">
        <f t="shared" si="36"/>
        <v/>
      </c>
      <c r="C124" s="470">
        <f>IF(D93="","-",+C123+1)</f>
        <v>2032</v>
      </c>
      <c r="D124" s="345">
        <f>IF(F123+SUM(E$99:E123)=D$92,F123,D$92-SUM(E$99:E123))</f>
        <v>33630</v>
      </c>
      <c r="E124" s="484">
        <f>IF(+J96&lt;F123,J96,D124)</f>
        <v>1770</v>
      </c>
      <c r="F124" s="483">
        <f t="shared" si="53"/>
        <v>31860</v>
      </c>
      <c r="G124" s="483">
        <f t="shared" si="54"/>
        <v>32745</v>
      </c>
      <c r="H124" s="486">
        <f t="shared" si="55"/>
        <v>5496.145007815283</v>
      </c>
      <c r="I124" s="540">
        <f t="shared" si="56"/>
        <v>5496.145007815283</v>
      </c>
      <c r="J124" s="476">
        <f t="shared" si="32"/>
        <v>0</v>
      </c>
      <c r="K124" s="476"/>
      <c r="L124" s="485"/>
      <c r="M124" s="476">
        <f t="shared" si="33"/>
        <v>0</v>
      </c>
      <c r="N124" s="485"/>
      <c r="O124" s="476">
        <f t="shared" si="34"/>
        <v>0</v>
      </c>
      <c r="P124" s="476">
        <f t="shared" si="35"/>
        <v>0</v>
      </c>
    </row>
    <row r="125" spans="2:16">
      <c r="B125" s="160" t="str">
        <f t="shared" si="36"/>
        <v/>
      </c>
      <c r="C125" s="470">
        <f>IF(D93="","-",+C124+1)</f>
        <v>2033</v>
      </c>
      <c r="D125" s="345">
        <f>IF(F124+SUM(E$99:E124)=D$92,F124,D$92-SUM(E$99:E124))</f>
        <v>31860</v>
      </c>
      <c r="E125" s="484">
        <f>IF(+J96&lt;F124,J96,D125)</f>
        <v>1770</v>
      </c>
      <c r="F125" s="483">
        <f t="shared" si="53"/>
        <v>30090</v>
      </c>
      <c r="G125" s="483">
        <f t="shared" si="54"/>
        <v>30975</v>
      </c>
      <c r="H125" s="486">
        <f t="shared" si="55"/>
        <v>5294.731764149592</v>
      </c>
      <c r="I125" s="540">
        <f t="shared" si="56"/>
        <v>5294.731764149592</v>
      </c>
      <c r="J125" s="476">
        <f t="shared" si="32"/>
        <v>0</v>
      </c>
      <c r="K125" s="476"/>
      <c r="L125" s="485"/>
      <c r="M125" s="476">
        <f t="shared" si="33"/>
        <v>0</v>
      </c>
      <c r="N125" s="485"/>
      <c r="O125" s="476">
        <f t="shared" si="34"/>
        <v>0</v>
      </c>
      <c r="P125" s="476">
        <f t="shared" si="35"/>
        <v>0</v>
      </c>
    </row>
    <row r="126" spans="2:16">
      <c r="B126" s="160" t="str">
        <f t="shared" si="36"/>
        <v/>
      </c>
      <c r="C126" s="470">
        <f>IF(D93="","-",+C125+1)</f>
        <v>2034</v>
      </c>
      <c r="D126" s="345">
        <f>IF(F125+SUM(E$99:E125)=D$92,F125,D$92-SUM(E$99:E125))</f>
        <v>30090</v>
      </c>
      <c r="E126" s="484">
        <f>IF(+J96&lt;F125,J96,D126)</f>
        <v>1770</v>
      </c>
      <c r="F126" s="483">
        <f t="shared" si="53"/>
        <v>28320</v>
      </c>
      <c r="G126" s="483">
        <f t="shared" si="54"/>
        <v>29205</v>
      </c>
      <c r="H126" s="486">
        <f t="shared" si="55"/>
        <v>5093.318520483901</v>
      </c>
      <c r="I126" s="540">
        <f t="shared" si="56"/>
        <v>5093.318520483901</v>
      </c>
      <c r="J126" s="476">
        <f t="shared" si="32"/>
        <v>0</v>
      </c>
      <c r="K126" s="476"/>
      <c r="L126" s="485"/>
      <c r="M126" s="476">
        <f t="shared" si="33"/>
        <v>0</v>
      </c>
      <c r="N126" s="485"/>
      <c r="O126" s="476">
        <f t="shared" si="34"/>
        <v>0</v>
      </c>
      <c r="P126" s="476">
        <f t="shared" si="35"/>
        <v>0</v>
      </c>
    </row>
    <row r="127" spans="2:16">
      <c r="B127" s="160" t="str">
        <f t="shared" si="36"/>
        <v/>
      </c>
      <c r="C127" s="470">
        <f>IF(D93="","-",+C126+1)</f>
        <v>2035</v>
      </c>
      <c r="D127" s="345">
        <f>IF(F126+SUM(E$99:E126)=D$92,F126,D$92-SUM(E$99:E126))</f>
        <v>28320</v>
      </c>
      <c r="E127" s="484">
        <f>IF(+J96&lt;F126,J96,D127)</f>
        <v>1770</v>
      </c>
      <c r="F127" s="483">
        <f t="shared" si="53"/>
        <v>26550</v>
      </c>
      <c r="G127" s="483">
        <f t="shared" si="54"/>
        <v>27435</v>
      </c>
      <c r="H127" s="486">
        <f t="shared" si="55"/>
        <v>4891.90527681821</v>
      </c>
      <c r="I127" s="540">
        <f t="shared" si="56"/>
        <v>4891.90527681821</v>
      </c>
      <c r="J127" s="476">
        <f t="shared" si="32"/>
        <v>0</v>
      </c>
      <c r="K127" s="476"/>
      <c r="L127" s="485"/>
      <c r="M127" s="476">
        <f t="shared" si="33"/>
        <v>0</v>
      </c>
      <c r="N127" s="485"/>
      <c r="O127" s="476">
        <f t="shared" si="34"/>
        <v>0</v>
      </c>
      <c r="P127" s="476">
        <f t="shared" si="35"/>
        <v>0</v>
      </c>
    </row>
    <row r="128" spans="2:16">
      <c r="B128" s="160" t="str">
        <f t="shared" si="36"/>
        <v/>
      </c>
      <c r="C128" s="470">
        <f>IF(D93="","-",+C127+1)</f>
        <v>2036</v>
      </c>
      <c r="D128" s="345">
        <f>IF(F127+SUM(E$99:E127)=D$92,F127,D$92-SUM(E$99:E127))</f>
        <v>26550</v>
      </c>
      <c r="E128" s="484">
        <f>IF(+J96&lt;F127,J96,D128)</f>
        <v>1770</v>
      </c>
      <c r="F128" s="483">
        <f t="shared" si="53"/>
        <v>24780</v>
      </c>
      <c r="G128" s="483">
        <f t="shared" si="54"/>
        <v>25665</v>
      </c>
      <c r="H128" s="486">
        <f t="shared" si="55"/>
        <v>4690.4920331525191</v>
      </c>
      <c r="I128" s="540">
        <f t="shared" si="56"/>
        <v>4690.4920331525191</v>
      </c>
      <c r="J128" s="476">
        <f t="shared" si="32"/>
        <v>0</v>
      </c>
      <c r="K128" s="476"/>
      <c r="L128" s="485"/>
      <c r="M128" s="476">
        <f t="shared" si="33"/>
        <v>0</v>
      </c>
      <c r="N128" s="485"/>
      <c r="O128" s="476">
        <f t="shared" si="34"/>
        <v>0</v>
      </c>
      <c r="P128" s="476">
        <f t="shared" si="35"/>
        <v>0</v>
      </c>
    </row>
    <row r="129" spans="2:16">
      <c r="B129" s="160" t="str">
        <f t="shared" si="36"/>
        <v/>
      </c>
      <c r="C129" s="470">
        <f>IF(D93="","-",+C128+1)</f>
        <v>2037</v>
      </c>
      <c r="D129" s="345">
        <f>IF(F128+SUM(E$99:E128)=D$92,F128,D$92-SUM(E$99:E128))</f>
        <v>24780</v>
      </c>
      <c r="E129" s="484">
        <f>IF(+J96&lt;F128,J96,D129)</f>
        <v>1770</v>
      </c>
      <c r="F129" s="483">
        <f t="shared" si="53"/>
        <v>23010</v>
      </c>
      <c r="G129" s="483">
        <f t="shared" si="54"/>
        <v>23895</v>
      </c>
      <c r="H129" s="486">
        <f t="shared" si="55"/>
        <v>4489.0787894868281</v>
      </c>
      <c r="I129" s="540">
        <f t="shared" si="56"/>
        <v>4489.0787894868281</v>
      </c>
      <c r="J129" s="476">
        <f t="shared" si="32"/>
        <v>0</v>
      </c>
      <c r="K129" s="476"/>
      <c r="L129" s="485"/>
      <c r="M129" s="476">
        <f t="shared" si="33"/>
        <v>0</v>
      </c>
      <c r="N129" s="485"/>
      <c r="O129" s="476">
        <f t="shared" si="34"/>
        <v>0</v>
      </c>
      <c r="P129" s="476">
        <f t="shared" si="35"/>
        <v>0</v>
      </c>
    </row>
    <row r="130" spans="2:16">
      <c r="B130" s="160" t="str">
        <f t="shared" si="36"/>
        <v/>
      </c>
      <c r="C130" s="470">
        <f>IF(D93="","-",+C129+1)</f>
        <v>2038</v>
      </c>
      <c r="D130" s="345">
        <f>IF(F129+SUM(E$99:E129)=D$92,F129,D$92-SUM(E$99:E129))</f>
        <v>23010</v>
      </c>
      <c r="E130" s="484">
        <f>IF(+J96&lt;F129,J96,D130)</f>
        <v>1770</v>
      </c>
      <c r="F130" s="483">
        <f t="shared" si="53"/>
        <v>21240</v>
      </c>
      <c r="G130" s="483">
        <f t="shared" si="54"/>
        <v>22125</v>
      </c>
      <c r="H130" s="486">
        <f t="shared" si="55"/>
        <v>4287.6655458211371</v>
      </c>
      <c r="I130" s="540">
        <f t="shared" si="56"/>
        <v>4287.6655458211371</v>
      </c>
      <c r="J130" s="476">
        <f t="shared" si="32"/>
        <v>0</v>
      </c>
      <c r="K130" s="476"/>
      <c r="L130" s="485"/>
      <c r="M130" s="476">
        <f t="shared" si="33"/>
        <v>0</v>
      </c>
      <c r="N130" s="485"/>
      <c r="O130" s="476">
        <f t="shared" si="34"/>
        <v>0</v>
      </c>
      <c r="P130" s="476">
        <f t="shared" si="35"/>
        <v>0</v>
      </c>
    </row>
    <row r="131" spans="2:16">
      <c r="B131" s="160" t="str">
        <f t="shared" si="36"/>
        <v/>
      </c>
      <c r="C131" s="470">
        <f>IF(D93="","-",+C130+1)</f>
        <v>2039</v>
      </c>
      <c r="D131" s="345">
        <f>IF(F130+SUM(E$99:E130)=D$92,F130,D$92-SUM(E$99:E130))</f>
        <v>21240</v>
      </c>
      <c r="E131" s="484">
        <f>IF(+J96&lt;F130,J96,D131)</f>
        <v>1770</v>
      </c>
      <c r="F131" s="483">
        <f t="shared" si="53"/>
        <v>19470</v>
      </c>
      <c r="G131" s="483">
        <f t="shared" si="54"/>
        <v>20355</v>
      </c>
      <c r="H131" s="486">
        <f t="shared" si="55"/>
        <v>4086.2523021554457</v>
      </c>
      <c r="I131" s="540">
        <f t="shared" si="56"/>
        <v>4086.2523021554457</v>
      </c>
      <c r="J131" s="476">
        <f t="shared" ref="J131:J154" si="57">+I541-H541</f>
        <v>0</v>
      </c>
      <c r="K131" s="476"/>
      <c r="L131" s="485"/>
      <c r="M131" s="476">
        <f t="shared" ref="M131:M154" si="58">IF(L541&lt;&gt;0,+H541-L541,0)</f>
        <v>0</v>
      </c>
      <c r="N131" s="485"/>
      <c r="O131" s="476">
        <f t="shared" ref="O131:O154" si="59">IF(N541&lt;&gt;0,+I541-N541,0)</f>
        <v>0</v>
      </c>
      <c r="P131" s="476">
        <f t="shared" ref="P131:P154" si="60">+O541-M541</f>
        <v>0</v>
      </c>
    </row>
    <row r="132" spans="2:16">
      <c r="B132" s="160" t="str">
        <f t="shared" si="36"/>
        <v/>
      </c>
      <c r="C132" s="470">
        <f>IF(D93="","-",+C131+1)</f>
        <v>2040</v>
      </c>
      <c r="D132" s="345">
        <f>IF(F131+SUM(E$99:E131)=D$92,F131,D$92-SUM(E$99:E131))</f>
        <v>19470</v>
      </c>
      <c r="E132" s="484">
        <f>IF(+J96&lt;F131,J96,D132)</f>
        <v>1770</v>
      </c>
      <c r="F132" s="483">
        <f t="shared" si="53"/>
        <v>17700</v>
      </c>
      <c r="G132" s="483">
        <f t="shared" si="54"/>
        <v>18585</v>
      </c>
      <c r="H132" s="486">
        <f t="shared" si="55"/>
        <v>3884.8390584897547</v>
      </c>
      <c r="I132" s="540">
        <f t="shared" si="56"/>
        <v>3884.8390584897547</v>
      </c>
      <c r="J132" s="476">
        <f t="shared" si="57"/>
        <v>0</v>
      </c>
      <c r="K132" s="476"/>
      <c r="L132" s="485"/>
      <c r="M132" s="476">
        <f t="shared" si="58"/>
        <v>0</v>
      </c>
      <c r="N132" s="485"/>
      <c r="O132" s="476">
        <f t="shared" si="59"/>
        <v>0</v>
      </c>
      <c r="P132" s="476">
        <f t="shared" si="60"/>
        <v>0</v>
      </c>
    </row>
    <row r="133" spans="2:16">
      <c r="B133" s="160" t="str">
        <f t="shared" si="36"/>
        <v/>
      </c>
      <c r="C133" s="470">
        <f>IF(D93="","-",+C132+1)</f>
        <v>2041</v>
      </c>
      <c r="D133" s="345">
        <f>IF(F132+SUM(E$99:E132)=D$92,F132,D$92-SUM(E$99:E132))</f>
        <v>17700</v>
      </c>
      <c r="E133" s="484">
        <f>IF(+J96&lt;F132,J96,D133)</f>
        <v>1770</v>
      </c>
      <c r="F133" s="483">
        <f t="shared" si="53"/>
        <v>15930</v>
      </c>
      <c r="G133" s="483">
        <f t="shared" si="54"/>
        <v>16815</v>
      </c>
      <c r="H133" s="486">
        <f t="shared" si="55"/>
        <v>3683.4258148240642</v>
      </c>
      <c r="I133" s="540">
        <f t="shared" si="56"/>
        <v>3683.4258148240642</v>
      </c>
      <c r="J133" s="476">
        <f t="shared" si="57"/>
        <v>0</v>
      </c>
      <c r="K133" s="476"/>
      <c r="L133" s="485"/>
      <c r="M133" s="476">
        <f t="shared" si="58"/>
        <v>0</v>
      </c>
      <c r="N133" s="485"/>
      <c r="O133" s="476">
        <f t="shared" si="59"/>
        <v>0</v>
      </c>
      <c r="P133" s="476">
        <f t="shared" si="60"/>
        <v>0</v>
      </c>
    </row>
    <row r="134" spans="2:16">
      <c r="B134" s="160" t="str">
        <f t="shared" si="36"/>
        <v/>
      </c>
      <c r="C134" s="470">
        <f>IF(D93="","-",+C133+1)</f>
        <v>2042</v>
      </c>
      <c r="D134" s="345">
        <f>IF(F133+SUM(E$99:E133)=D$92,F133,D$92-SUM(E$99:E133))</f>
        <v>15930</v>
      </c>
      <c r="E134" s="484">
        <f>IF(+J96&lt;F133,J96,D134)</f>
        <v>1770</v>
      </c>
      <c r="F134" s="483">
        <f t="shared" si="53"/>
        <v>14160</v>
      </c>
      <c r="G134" s="483">
        <f t="shared" si="54"/>
        <v>15045</v>
      </c>
      <c r="H134" s="486">
        <f t="shared" si="55"/>
        <v>3482.0125711583732</v>
      </c>
      <c r="I134" s="540">
        <f t="shared" si="56"/>
        <v>3482.0125711583732</v>
      </c>
      <c r="J134" s="476">
        <f t="shared" si="57"/>
        <v>0</v>
      </c>
      <c r="K134" s="476"/>
      <c r="L134" s="485"/>
      <c r="M134" s="476">
        <f t="shared" si="58"/>
        <v>0</v>
      </c>
      <c r="N134" s="485"/>
      <c r="O134" s="476">
        <f t="shared" si="59"/>
        <v>0</v>
      </c>
      <c r="P134" s="476">
        <f t="shared" si="60"/>
        <v>0</v>
      </c>
    </row>
    <row r="135" spans="2:16">
      <c r="B135" s="160" t="str">
        <f t="shared" si="36"/>
        <v/>
      </c>
      <c r="C135" s="470">
        <f>IF(D93="","-",+C134+1)</f>
        <v>2043</v>
      </c>
      <c r="D135" s="345">
        <f>IF(F134+SUM(E$99:E134)=D$92,F134,D$92-SUM(E$99:E134))</f>
        <v>14160</v>
      </c>
      <c r="E135" s="484">
        <f>IF(+J96&lt;F134,J96,D135)</f>
        <v>1770</v>
      </c>
      <c r="F135" s="483">
        <f t="shared" si="53"/>
        <v>12390</v>
      </c>
      <c r="G135" s="483">
        <f t="shared" si="54"/>
        <v>13275</v>
      </c>
      <c r="H135" s="486">
        <f t="shared" si="55"/>
        <v>3280.5993274926823</v>
      </c>
      <c r="I135" s="540">
        <f t="shared" si="56"/>
        <v>3280.5993274926823</v>
      </c>
      <c r="J135" s="476">
        <f t="shared" si="57"/>
        <v>0</v>
      </c>
      <c r="K135" s="476"/>
      <c r="L135" s="485"/>
      <c r="M135" s="476">
        <f t="shared" si="58"/>
        <v>0</v>
      </c>
      <c r="N135" s="485"/>
      <c r="O135" s="476">
        <f t="shared" si="59"/>
        <v>0</v>
      </c>
      <c r="P135" s="476">
        <f t="shared" si="60"/>
        <v>0</v>
      </c>
    </row>
    <row r="136" spans="2:16">
      <c r="B136" s="160" t="str">
        <f t="shared" si="36"/>
        <v/>
      </c>
      <c r="C136" s="470">
        <f>IF(D93="","-",+C135+1)</f>
        <v>2044</v>
      </c>
      <c r="D136" s="345">
        <f>IF(F135+SUM(E$99:E135)=D$92,F135,D$92-SUM(E$99:E135))</f>
        <v>12390</v>
      </c>
      <c r="E136" s="484">
        <f>IF(+J96&lt;F135,J96,D136)</f>
        <v>1770</v>
      </c>
      <c r="F136" s="483">
        <f t="shared" si="53"/>
        <v>10620</v>
      </c>
      <c r="G136" s="483">
        <f t="shared" si="54"/>
        <v>11505</v>
      </c>
      <c r="H136" s="486">
        <f t="shared" si="55"/>
        <v>3079.1860838269913</v>
      </c>
      <c r="I136" s="540">
        <f t="shared" si="56"/>
        <v>3079.1860838269913</v>
      </c>
      <c r="J136" s="476">
        <f t="shared" si="57"/>
        <v>0</v>
      </c>
      <c r="K136" s="476"/>
      <c r="L136" s="485"/>
      <c r="M136" s="476">
        <f t="shared" si="58"/>
        <v>0</v>
      </c>
      <c r="N136" s="485"/>
      <c r="O136" s="476">
        <f t="shared" si="59"/>
        <v>0</v>
      </c>
      <c r="P136" s="476">
        <f t="shared" si="60"/>
        <v>0</v>
      </c>
    </row>
    <row r="137" spans="2:16">
      <c r="B137" s="160" t="str">
        <f t="shared" si="36"/>
        <v/>
      </c>
      <c r="C137" s="470">
        <f>IF(D93="","-",+C136+1)</f>
        <v>2045</v>
      </c>
      <c r="D137" s="345">
        <f>IF(F136+SUM(E$99:E136)=D$92,F136,D$92-SUM(E$99:E136))</f>
        <v>10620</v>
      </c>
      <c r="E137" s="484">
        <f>IF(+J96&lt;F136,J96,D137)</f>
        <v>1770</v>
      </c>
      <c r="F137" s="483">
        <f t="shared" si="53"/>
        <v>8850</v>
      </c>
      <c r="G137" s="483">
        <f t="shared" si="54"/>
        <v>9735</v>
      </c>
      <c r="H137" s="486">
        <f t="shared" si="55"/>
        <v>2877.7728401613003</v>
      </c>
      <c r="I137" s="540">
        <f t="shared" si="56"/>
        <v>2877.7728401613003</v>
      </c>
      <c r="J137" s="476">
        <f t="shared" si="57"/>
        <v>0</v>
      </c>
      <c r="K137" s="476"/>
      <c r="L137" s="485"/>
      <c r="M137" s="476">
        <f t="shared" si="58"/>
        <v>0</v>
      </c>
      <c r="N137" s="485"/>
      <c r="O137" s="476">
        <f t="shared" si="59"/>
        <v>0</v>
      </c>
      <c r="P137" s="476">
        <f t="shared" si="60"/>
        <v>0</v>
      </c>
    </row>
    <row r="138" spans="2:16">
      <c r="B138" s="160" t="str">
        <f t="shared" si="36"/>
        <v/>
      </c>
      <c r="C138" s="470">
        <f>IF(D93="","-",+C137+1)</f>
        <v>2046</v>
      </c>
      <c r="D138" s="345">
        <f>IF(F137+SUM(E$99:E137)=D$92,F137,D$92-SUM(E$99:E137))</f>
        <v>8850</v>
      </c>
      <c r="E138" s="484">
        <f>IF(+J96&lt;F137,J96,D138)</f>
        <v>1770</v>
      </c>
      <c r="F138" s="483">
        <f t="shared" si="53"/>
        <v>7080</v>
      </c>
      <c r="G138" s="483">
        <f t="shared" si="54"/>
        <v>7965</v>
      </c>
      <c r="H138" s="486">
        <f t="shared" si="55"/>
        <v>2676.3595964956094</v>
      </c>
      <c r="I138" s="540">
        <f t="shared" si="56"/>
        <v>2676.3595964956094</v>
      </c>
      <c r="J138" s="476">
        <f t="shared" si="57"/>
        <v>0</v>
      </c>
      <c r="K138" s="476"/>
      <c r="L138" s="485"/>
      <c r="M138" s="476">
        <f t="shared" si="58"/>
        <v>0</v>
      </c>
      <c r="N138" s="485"/>
      <c r="O138" s="476">
        <f t="shared" si="59"/>
        <v>0</v>
      </c>
      <c r="P138" s="476">
        <f t="shared" si="60"/>
        <v>0</v>
      </c>
    </row>
    <row r="139" spans="2:16">
      <c r="B139" s="160" t="str">
        <f t="shared" si="36"/>
        <v/>
      </c>
      <c r="C139" s="470">
        <f>IF(D93="","-",+C138+1)</f>
        <v>2047</v>
      </c>
      <c r="D139" s="345">
        <f>IF(F138+SUM(E$99:E138)=D$92,F138,D$92-SUM(E$99:E138))</f>
        <v>7080</v>
      </c>
      <c r="E139" s="484">
        <f>IF(+J96&lt;F138,J96,D139)</f>
        <v>1770</v>
      </c>
      <c r="F139" s="483">
        <f t="shared" si="53"/>
        <v>5310</v>
      </c>
      <c r="G139" s="483">
        <f t="shared" si="54"/>
        <v>6195</v>
      </c>
      <c r="H139" s="486">
        <f t="shared" si="55"/>
        <v>2474.9463528299184</v>
      </c>
      <c r="I139" s="540">
        <f t="shared" si="56"/>
        <v>2474.9463528299184</v>
      </c>
      <c r="J139" s="476">
        <f t="shared" si="57"/>
        <v>0</v>
      </c>
      <c r="K139" s="476"/>
      <c r="L139" s="485"/>
      <c r="M139" s="476">
        <f t="shared" si="58"/>
        <v>0</v>
      </c>
      <c r="N139" s="485"/>
      <c r="O139" s="476">
        <f t="shared" si="59"/>
        <v>0</v>
      </c>
      <c r="P139" s="476">
        <f t="shared" si="60"/>
        <v>0</v>
      </c>
    </row>
    <row r="140" spans="2:16">
      <c r="B140" s="160" t="str">
        <f t="shared" si="36"/>
        <v/>
      </c>
      <c r="C140" s="470">
        <f>IF(D93="","-",+C139+1)</f>
        <v>2048</v>
      </c>
      <c r="D140" s="345">
        <f>IF(F139+SUM(E$99:E139)=D$92,F139,D$92-SUM(E$99:E139))</f>
        <v>5310</v>
      </c>
      <c r="E140" s="484">
        <f>IF(+J96&lt;F139,J96,D140)</f>
        <v>1770</v>
      </c>
      <c r="F140" s="483">
        <f t="shared" si="53"/>
        <v>3540</v>
      </c>
      <c r="G140" s="483">
        <f t="shared" si="54"/>
        <v>4425</v>
      </c>
      <c r="H140" s="486">
        <f t="shared" si="55"/>
        <v>2273.5331091642274</v>
      </c>
      <c r="I140" s="540">
        <f t="shared" si="56"/>
        <v>2273.5331091642274</v>
      </c>
      <c r="J140" s="476">
        <f t="shared" si="57"/>
        <v>0</v>
      </c>
      <c r="K140" s="476"/>
      <c r="L140" s="485"/>
      <c r="M140" s="476">
        <f t="shared" si="58"/>
        <v>0</v>
      </c>
      <c r="N140" s="485"/>
      <c r="O140" s="476">
        <f t="shared" si="59"/>
        <v>0</v>
      </c>
      <c r="P140" s="476">
        <f t="shared" si="60"/>
        <v>0</v>
      </c>
    </row>
    <row r="141" spans="2:16">
      <c r="B141" s="160" t="str">
        <f t="shared" si="36"/>
        <v/>
      </c>
      <c r="C141" s="470">
        <f>IF(D93="","-",+C140+1)</f>
        <v>2049</v>
      </c>
      <c r="D141" s="345">
        <f>IF(F140+SUM(E$99:E140)=D$92,F140,D$92-SUM(E$99:E140))</f>
        <v>3540</v>
      </c>
      <c r="E141" s="484">
        <f>IF(+J96&lt;F140,J96,D141)</f>
        <v>1770</v>
      </c>
      <c r="F141" s="483">
        <f t="shared" si="53"/>
        <v>1770</v>
      </c>
      <c r="G141" s="483">
        <f t="shared" si="54"/>
        <v>2655</v>
      </c>
      <c r="H141" s="486">
        <f t="shared" si="55"/>
        <v>2072.1198654985365</v>
      </c>
      <c r="I141" s="540">
        <f t="shared" si="56"/>
        <v>2072.1198654985365</v>
      </c>
      <c r="J141" s="476">
        <f t="shared" si="57"/>
        <v>0</v>
      </c>
      <c r="K141" s="476"/>
      <c r="L141" s="485"/>
      <c r="M141" s="476">
        <f t="shared" si="58"/>
        <v>0</v>
      </c>
      <c r="N141" s="485"/>
      <c r="O141" s="476">
        <f t="shared" si="59"/>
        <v>0</v>
      </c>
      <c r="P141" s="476">
        <f t="shared" si="60"/>
        <v>0</v>
      </c>
    </row>
    <row r="142" spans="2:16">
      <c r="B142" s="160" t="str">
        <f t="shared" si="36"/>
        <v/>
      </c>
      <c r="C142" s="470">
        <f>IF(D93="","-",+C141+1)</f>
        <v>2050</v>
      </c>
      <c r="D142" s="345">
        <f>IF(F141+SUM(E$99:E141)=D$92,F141,D$92-SUM(E$99:E141))</f>
        <v>1770</v>
      </c>
      <c r="E142" s="484">
        <f>IF(+J96&lt;F141,J96,D142)</f>
        <v>1770</v>
      </c>
      <c r="F142" s="483">
        <f t="shared" si="53"/>
        <v>0</v>
      </c>
      <c r="G142" s="483">
        <f t="shared" si="54"/>
        <v>885</v>
      </c>
      <c r="H142" s="486">
        <f t="shared" si="55"/>
        <v>1870.7066218328455</v>
      </c>
      <c r="I142" s="540">
        <f t="shared" si="56"/>
        <v>1870.7066218328455</v>
      </c>
      <c r="J142" s="476">
        <f t="shared" si="57"/>
        <v>0</v>
      </c>
      <c r="K142" s="476"/>
      <c r="L142" s="485"/>
      <c r="M142" s="476">
        <f t="shared" si="58"/>
        <v>0</v>
      </c>
      <c r="N142" s="485"/>
      <c r="O142" s="476">
        <f t="shared" si="59"/>
        <v>0</v>
      </c>
      <c r="P142" s="476">
        <f t="shared" si="60"/>
        <v>0</v>
      </c>
    </row>
    <row r="143" spans="2:16">
      <c r="B143" s="160" t="str">
        <f t="shared" si="36"/>
        <v/>
      </c>
      <c r="C143" s="470">
        <f>IF(D93="","-",+C142+1)</f>
        <v>2051</v>
      </c>
      <c r="D143" s="345">
        <f>IF(F142+SUM(E$99:E142)=D$92,F142,D$92-SUM(E$99:E142))</f>
        <v>0</v>
      </c>
      <c r="E143" s="484">
        <f>IF(+J96&lt;F142,J96,D143)</f>
        <v>0</v>
      </c>
      <c r="F143" s="483">
        <f t="shared" si="53"/>
        <v>0</v>
      </c>
      <c r="G143" s="483">
        <f t="shared" si="54"/>
        <v>0</v>
      </c>
      <c r="H143" s="486">
        <f t="shared" si="55"/>
        <v>0</v>
      </c>
      <c r="I143" s="540">
        <f t="shared" si="56"/>
        <v>0</v>
      </c>
      <c r="J143" s="476">
        <f t="shared" si="57"/>
        <v>0</v>
      </c>
      <c r="K143" s="476"/>
      <c r="L143" s="485"/>
      <c r="M143" s="476">
        <f t="shared" si="58"/>
        <v>0</v>
      </c>
      <c r="N143" s="485"/>
      <c r="O143" s="476">
        <f t="shared" si="59"/>
        <v>0</v>
      </c>
      <c r="P143" s="476">
        <f t="shared" si="60"/>
        <v>0</v>
      </c>
    </row>
    <row r="144" spans="2:16">
      <c r="B144" s="160" t="str">
        <f t="shared" si="36"/>
        <v/>
      </c>
      <c r="C144" s="470">
        <f>IF(D93="","-",+C143+1)</f>
        <v>2052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53"/>
        <v>0</v>
      </c>
      <c r="G144" s="483">
        <f t="shared" si="54"/>
        <v>0</v>
      </c>
      <c r="H144" s="486">
        <f t="shared" si="55"/>
        <v>0</v>
      </c>
      <c r="I144" s="540">
        <f t="shared" si="56"/>
        <v>0</v>
      </c>
      <c r="J144" s="476">
        <f t="shared" si="57"/>
        <v>0</v>
      </c>
      <c r="K144" s="476"/>
      <c r="L144" s="485"/>
      <c r="M144" s="476">
        <f t="shared" si="58"/>
        <v>0</v>
      </c>
      <c r="N144" s="485"/>
      <c r="O144" s="476">
        <f t="shared" si="59"/>
        <v>0</v>
      </c>
      <c r="P144" s="476">
        <f t="shared" si="60"/>
        <v>0</v>
      </c>
    </row>
    <row r="145" spans="2:16">
      <c r="B145" s="160" t="str">
        <f t="shared" si="36"/>
        <v/>
      </c>
      <c r="C145" s="470">
        <f>IF(D93="","-",+C144+1)</f>
        <v>2053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53"/>
        <v>0</v>
      </c>
      <c r="G145" s="483">
        <f t="shared" si="54"/>
        <v>0</v>
      </c>
      <c r="H145" s="486">
        <f t="shared" si="55"/>
        <v>0</v>
      </c>
      <c r="I145" s="540">
        <f t="shared" si="56"/>
        <v>0</v>
      </c>
      <c r="J145" s="476">
        <f t="shared" si="57"/>
        <v>0</v>
      </c>
      <c r="K145" s="476"/>
      <c r="L145" s="485"/>
      <c r="M145" s="476">
        <f t="shared" si="58"/>
        <v>0</v>
      </c>
      <c r="N145" s="485"/>
      <c r="O145" s="476">
        <f t="shared" si="59"/>
        <v>0</v>
      </c>
      <c r="P145" s="476">
        <f t="shared" si="60"/>
        <v>0</v>
      </c>
    </row>
    <row r="146" spans="2:16">
      <c r="B146" s="160" t="str">
        <f t="shared" si="36"/>
        <v/>
      </c>
      <c r="C146" s="470">
        <f>IF(D93="","-",+C145+1)</f>
        <v>2054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si="53"/>
        <v>0</v>
      </c>
      <c r="G146" s="483">
        <f t="shared" si="54"/>
        <v>0</v>
      </c>
      <c r="H146" s="486">
        <f t="shared" si="55"/>
        <v>0</v>
      </c>
      <c r="I146" s="540">
        <f t="shared" si="56"/>
        <v>0</v>
      </c>
      <c r="J146" s="476">
        <f t="shared" si="57"/>
        <v>0</v>
      </c>
      <c r="K146" s="476"/>
      <c r="L146" s="485"/>
      <c r="M146" s="476">
        <f t="shared" si="58"/>
        <v>0</v>
      </c>
      <c r="N146" s="485"/>
      <c r="O146" s="476">
        <f t="shared" si="59"/>
        <v>0</v>
      </c>
      <c r="P146" s="476">
        <f t="shared" si="60"/>
        <v>0</v>
      </c>
    </row>
    <row r="147" spans="2:16">
      <c r="B147" s="160" t="str">
        <f t="shared" si="36"/>
        <v/>
      </c>
      <c r="C147" s="470">
        <f>IF(D93="","-",+C146+1)</f>
        <v>2055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53"/>
        <v>0</v>
      </c>
      <c r="G147" s="483">
        <f t="shared" si="54"/>
        <v>0</v>
      </c>
      <c r="H147" s="486">
        <f t="shared" si="55"/>
        <v>0</v>
      </c>
      <c r="I147" s="540">
        <f t="shared" si="56"/>
        <v>0</v>
      </c>
      <c r="J147" s="476">
        <f t="shared" si="57"/>
        <v>0</v>
      </c>
      <c r="K147" s="476"/>
      <c r="L147" s="485"/>
      <c r="M147" s="476">
        <f t="shared" si="58"/>
        <v>0</v>
      </c>
      <c r="N147" s="485"/>
      <c r="O147" s="476">
        <f t="shared" si="59"/>
        <v>0</v>
      </c>
      <c r="P147" s="476">
        <f t="shared" si="60"/>
        <v>0</v>
      </c>
    </row>
    <row r="148" spans="2:16">
      <c r="B148" s="160" t="str">
        <f t="shared" si="36"/>
        <v/>
      </c>
      <c r="C148" s="470">
        <f>IF(D93="","-",+C147+1)</f>
        <v>2056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53"/>
        <v>0</v>
      </c>
      <c r="G148" s="483">
        <f t="shared" si="54"/>
        <v>0</v>
      </c>
      <c r="H148" s="486">
        <f t="shared" si="55"/>
        <v>0</v>
      </c>
      <c r="I148" s="540">
        <f t="shared" si="56"/>
        <v>0</v>
      </c>
      <c r="J148" s="476">
        <f t="shared" si="57"/>
        <v>0</v>
      </c>
      <c r="K148" s="476"/>
      <c r="L148" s="485"/>
      <c r="M148" s="476">
        <f t="shared" si="58"/>
        <v>0</v>
      </c>
      <c r="N148" s="485"/>
      <c r="O148" s="476">
        <f t="shared" si="59"/>
        <v>0</v>
      </c>
      <c r="P148" s="476">
        <f t="shared" si="60"/>
        <v>0</v>
      </c>
    </row>
    <row r="149" spans="2:16">
      <c r="B149" s="160" t="str">
        <f t="shared" si="36"/>
        <v/>
      </c>
      <c r="C149" s="470">
        <f>IF(D93="","-",+C148+1)</f>
        <v>2057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53"/>
        <v>0</v>
      </c>
      <c r="G149" s="483">
        <f t="shared" si="54"/>
        <v>0</v>
      </c>
      <c r="H149" s="486">
        <f t="shared" si="55"/>
        <v>0</v>
      </c>
      <c r="I149" s="540">
        <f t="shared" si="56"/>
        <v>0</v>
      </c>
      <c r="J149" s="476">
        <f t="shared" si="57"/>
        <v>0</v>
      </c>
      <c r="K149" s="476"/>
      <c r="L149" s="485"/>
      <c r="M149" s="476">
        <f t="shared" si="58"/>
        <v>0</v>
      </c>
      <c r="N149" s="485"/>
      <c r="O149" s="476">
        <f t="shared" si="59"/>
        <v>0</v>
      </c>
      <c r="P149" s="476">
        <f t="shared" si="60"/>
        <v>0</v>
      </c>
    </row>
    <row r="150" spans="2:16">
      <c r="B150" s="160" t="str">
        <f t="shared" si="36"/>
        <v/>
      </c>
      <c r="C150" s="470">
        <f>IF(D93="","-",+C149+1)</f>
        <v>2058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53"/>
        <v>0</v>
      </c>
      <c r="G150" s="483">
        <f t="shared" si="54"/>
        <v>0</v>
      </c>
      <c r="H150" s="486">
        <f t="shared" si="55"/>
        <v>0</v>
      </c>
      <c r="I150" s="540">
        <f t="shared" si="56"/>
        <v>0</v>
      </c>
      <c r="J150" s="476">
        <f t="shared" si="57"/>
        <v>0</v>
      </c>
      <c r="K150" s="476"/>
      <c r="L150" s="485"/>
      <c r="M150" s="476">
        <f t="shared" si="58"/>
        <v>0</v>
      </c>
      <c r="N150" s="485"/>
      <c r="O150" s="476">
        <f t="shared" si="59"/>
        <v>0</v>
      </c>
      <c r="P150" s="476">
        <f t="shared" si="60"/>
        <v>0</v>
      </c>
    </row>
    <row r="151" spans="2:16">
      <c r="B151" s="160" t="str">
        <f t="shared" si="36"/>
        <v/>
      </c>
      <c r="C151" s="470">
        <f>IF(D93="","-",+C150+1)</f>
        <v>2059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53"/>
        <v>0</v>
      </c>
      <c r="G151" s="483">
        <f t="shared" si="54"/>
        <v>0</v>
      </c>
      <c r="H151" s="486">
        <f t="shared" si="55"/>
        <v>0</v>
      </c>
      <c r="I151" s="540">
        <f t="shared" si="56"/>
        <v>0</v>
      </c>
      <c r="J151" s="476">
        <f t="shared" si="57"/>
        <v>0</v>
      </c>
      <c r="K151" s="476"/>
      <c r="L151" s="485"/>
      <c r="M151" s="476">
        <f t="shared" si="58"/>
        <v>0</v>
      </c>
      <c r="N151" s="485"/>
      <c r="O151" s="476">
        <f t="shared" si="59"/>
        <v>0</v>
      </c>
      <c r="P151" s="476">
        <f t="shared" si="60"/>
        <v>0</v>
      </c>
    </row>
    <row r="152" spans="2:16">
      <c r="B152" s="160" t="str">
        <f t="shared" si="36"/>
        <v/>
      </c>
      <c r="C152" s="470">
        <f>IF(D93="","-",+C151+1)</f>
        <v>2060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53"/>
        <v>0</v>
      </c>
      <c r="G152" s="483">
        <f t="shared" si="54"/>
        <v>0</v>
      </c>
      <c r="H152" s="486">
        <f t="shared" si="55"/>
        <v>0</v>
      </c>
      <c r="I152" s="540">
        <f t="shared" si="56"/>
        <v>0</v>
      </c>
      <c r="J152" s="476">
        <f t="shared" si="57"/>
        <v>0</v>
      </c>
      <c r="K152" s="476"/>
      <c r="L152" s="485"/>
      <c r="M152" s="476">
        <f t="shared" si="58"/>
        <v>0</v>
      </c>
      <c r="N152" s="485"/>
      <c r="O152" s="476">
        <f t="shared" si="59"/>
        <v>0</v>
      </c>
      <c r="P152" s="476">
        <f t="shared" si="60"/>
        <v>0</v>
      </c>
    </row>
    <row r="153" spans="2:16">
      <c r="B153" s="160" t="str">
        <f t="shared" si="36"/>
        <v/>
      </c>
      <c r="C153" s="470">
        <f>IF(D93="","-",+C152+1)</f>
        <v>2061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53"/>
        <v>0</v>
      </c>
      <c r="G153" s="483">
        <f t="shared" si="54"/>
        <v>0</v>
      </c>
      <c r="H153" s="486">
        <f t="shared" si="55"/>
        <v>0</v>
      </c>
      <c r="I153" s="540">
        <f t="shared" si="56"/>
        <v>0</v>
      </c>
      <c r="J153" s="476">
        <f t="shared" si="57"/>
        <v>0</v>
      </c>
      <c r="K153" s="476"/>
      <c r="L153" s="485"/>
      <c r="M153" s="476">
        <f t="shared" si="58"/>
        <v>0</v>
      </c>
      <c r="N153" s="485"/>
      <c r="O153" s="476">
        <f t="shared" si="59"/>
        <v>0</v>
      </c>
      <c r="P153" s="476">
        <f t="shared" si="60"/>
        <v>0</v>
      </c>
    </row>
    <row r="154" spans="2:16" ht="13.5" thickBot="1">
      <c r="B154" s="160" t="str">
        <f t="shared" si="36"/>
        <v/>
      </c>
      <c r="C154" s="487">
        <f>IF(D93="","-",+C153+1)</f>
        <v>2062</v>
      </c>
      <c r="D154" s="488">
        <f>IF(F153+SUM(E$99:E153)=D$92,F153,D$92-SUM(E$99:E153))</f>
        <v>0</v>
      </c>
      <c r="E154" s="542">
        <f>IF(+J96&lt;F153,J96,D154)</f>
        <v>0</v>
      </c>
      <c r="F154" s="488">
        <f t="shared" si="53"/>
        <v>0</v>
      </c>
      <c r="G154" s="488">
        <f t="shared" si="54"/>
        <v>0</v>
      </c>
      <c r="H154" s="490">
        <f t="shared" si="55"/>
        <v>0</v>
      </c>
      <c r="I154" s="543">
        <f t="shared" si="56"/>
        <v>0</v>
      </c>
      <c r="J154" s="493">
        <f t="shared" si="57"/>
        <v>0</v>
      </c>
      <c r="K154" s="476"/>
      <c r="L154" s="492"/>
      <c r="M154" s="493">
        <f t="shared" si="58"/>
        <v>0</v>
      </c>
      <c r="N154" s="492"/>
      <c r="O154" s="493">
        <f t="shared" si="59"/>
        <v>0</v>
      </c>
      <c r="P154" s="493">
        <f t="shared" si="60"/>
        <v>0</v>
      </c>
    </row>
    <row r="155" spans="2:16">
      <c r="C155" s="345" t="s">
        <v>77</v>
      </c>
      <c r="D155" s="346"/>
      <c r="E155" s="346">
        <f>SUM(E99:E154)</f>
        <v>72551</v>
      </c>
      <c r="F155" s="346"/>
      <c r="G155" s="346"/>
      <c r="H155" s="346">
        <f>SUM(H99:H154)</f>
        <v>280644.75507568731</v>
      </c>
      <c r="I155" s="346">
        <f>SUM(I99:I154)</f>
        <v>280644.75507568731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54" priority="1" stopIfTrue="1" operator="equal">
      <formula>$I$10</formula>
    </cfRule>
  </conditionalFormatting>
  <conditionalFormatting sqref="C99:C154">
    <cfRule type="cellIs" dxfId="53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0">
    <tabColor rgb="FFC00000"/>
  </sheetPr>
  <dimension ref="A1:P162"/>
  <sheetViews>
    <sheetView topLeftCell="A85" zoomScaleNormal="100" zoomScaleSheetLayoutView="75" workbookViewId="0">
      <selection activeCell="V52" sqref="V5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10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10009.21052631579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10009.21052631579</v>
      </c>
      <c r="O6" s="231"/>
      <c r="P6" s="231"/>
    </row>
    <row r="7" spans="1:16" ht="13.5" thickBot="1">
      <c r="C7" s="429" t="s">
        <v>46</v>
      </c>
      <c r="D7" s="562" t="s">
        <v>258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>DOES NOT MEET SPP $100,000 MINIMUM INVESTMENT FOR REGIONAL BPU SHARING.</v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221</v>
      </c>
      <c r="E9" s="575" t="s">
        <v>345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96566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2010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6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2541.2105263157896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2010</v>
      </c>
      <c r="D17" s="471">
        <v>135400</v>
      </c>
      <c r="E17" s="472">
        <v>1209</v>
      </c>
      <c r="F17" s="471">
        <v>134191</v>
      </c>
      <c r="G17" s="472">
        <v>20572</v>
      </c>
      <c r="H17" s="479">
        <v>20572</v>
      </c>
      <c r="I17" s="473">
        <f t="shared" ref="I17:I48" si="0">H17-G17</f>
        <v>0</v>
      </c>
      <c r="J17" s="473"/>
      <c r="K17" s="552">
        <f t="shared" ref="K17:K22" si="1">G17</f>
        <v>20572</v>
      </c>
      <c r="L17" s="475">
        <f t="shared" ref="L17:L48" si="2">IF(K17&lt;&gt;0,+G17-K17,0)</f>
        <v>0</v>
      </c>
      <c r="M17" s="552">
        <f t="shared" ref="M17:M22" si="3">H17</f>
        <v>20572</v>
      </c>
      <c r="N17" s="475">
        <f t="shared" ref="N17:N48" si="4">IF(M17&lt;&gt;0,+H17-M17,0)</f>
        <v>0</v>
      </c>
      <c r="O17" s="476">
        <f t="shared" ref="O17:O48" si="5">+N17-L17</f>
        <v>0</v>
      </c>
      <c r="P17" s="241"/>
    </row>
    <row r="18" spans="2:16">
      <c r="B18" s="160" t="str">
        <f>IF(D18=F17,"","IU")</f>
        <v>IU</v>
      </c>
      <c r="C18" s="470">
        <f>IF(D11="","-",+C17+1)</f>
        <v>2011</v>
      </c>
      <c r="D18" s="477">
        <v>95357</v>
      </c>
      <c r="E18" s="478">
        <v>1893.4509803921569</v>
      </c>
      <c r="F18" s="477">
        <v>93463.549019607846</v>
      </c>
      <c r="G18" s="478">
        <v>16524.450980392157</v>
      </c>
      <c r="H18" s="479">
        <v>16524.450980392157</v>
      </c>
      <c r="I18" s="473">
        <f t="shared" si="0"/>
        <v>0</v>
      </c>
      <c r="J18" s="473"/>
      <c r="K18" s="474">
        <f t="shared" si="1"/>
        <v>16524.450980392157</v>
      </c>
      <c r="L18" s="548">
        <f t="shared" si="2"/>
        <v>0</v>
      </c>
      <c r="M18" s="474">
        <f t="shared" si="3"/>
        <v>16524.450980392157</v>
      </c>
      <c r="N18" s="476">
        <f t="shared" si="4"/>
        <v>0</v>
      </c>
      <c r="O18" s="476">
        <f t="shared" si="5"/>
        <v>0</v>
      </c>
      <c r="P18" s="241"/>
    </row>
    <row r="19" spans="2:16">
      <c r="B19" s="160" t="str">
        <f>IF(D19=F18,"","IU")</f>
        <v/>
      </c>
      <c r="C19" s="470">
        <f>IF(D11="","-",+C18+1)</f>
        <v>2012</v>
      </c>
      <c r="D19" s="477">
        <v>93463.549019607846</v>
      </c>
      <c r="E19" s="478">
        <v>1857.0384615384614</v>
      </c>
      <c r="F19" s="477">
        <v>91606.510558069378</v>
      </c>
      <c r="G19" s="478">
        <v>14609.038461538461</v>
      </c>
      <c r="H19" s="479">
        <v>14609.038461538461</v>
      </c>
      <c r="I19" s="473">
        <f t="shared" si="0"/>
        <v>0</v>
      </c>
      <c r="J19" s="473"/>
      <c r="K19" s="474">
        <f t="shared" si="1"/>
        <v>14609.038461538461</v>
      </c>
      <c r="L19" s="548">
        <f t="shared" si="2"/>
        <v>0</v>
      </c>
      <c r="M19" s="474">
        <f t="shared" si="3"/>
        <v>14609.038461538461</v>
      </c>
      <c r="N19" s="476">
        <f t="shared" si="4"/>
        <v>0</v>
      </c>
      <c r="O19" s="476">
        <f t="shared" si="5"/>
        <v>0</v>
      </c>
      <c r="P19" s="241"/>
    </row>
    <row r="20" spans="2:16">
      <c r="B20" s="160" t="str">
        <f t="shared" ref="B20:B72" si="6">IF(D20=F19,"","IU")</f>
        <v/>
      </c>
      <c r="C20" s="470">
        <f>IF(D11="","-",+C19+1)</f>
        <v>2013</v>
      </c>
      <c r="D20" s="477">
        <v>91606.510558069378</v>
      </c>
      <c r="E20" s="478">
        <v>1857.0384615384614</v>
      </c>
      <c r="F20" s="477">
        <v>89749.47209653091</v>
      </c>
      <c r="G20" s="478">
        <v>14674.038461538461</v>
      </c>
      <c r="H20" s="479">
        <v>14674.038461538461</v>
      </c>
      <c r="I20" s="473">
        <v>0</v>
      </c>
      <c r="J20" s="473"/>
      <c r="K20" s="474">
        <f t="shared" si="1"/>
        <v>14674.038461538461</v>
      </c>
      <c r="L20" s="548">
        <f t="shared" ref="L20:L25" si="7">IF(K20&lt;&gt;0,+G20-K20,0)</f>
        <v>0</v>
      </c>
      <c r="M20" s="474">
        <f t="shared" si="3"/>
        <v>14674.038461538461</v>
      </c>
      <c r="N20" s="476">
        <f t="shared" ref="N20:N25" si="8">IF(M20&lt;&gt;0,+H20-M20,0)</f>
        <v>0</v>
      </c>
      <c r="O20" s="476">
        <f t="shared" ref="O20:O25" si="9">+N20-L20</f>
        <v>0</v>
      </c>
      <c r="P20" s="241"/>
    </row>
    <row r="21" spans="2:16">
      <c r="B21" s="160" t="str">
        <f t="shared" si="6"/>
        <v/>
      </c>
      <c r="C21" s="470">
        <f>IF(D11="","-",+C20+1)</f>
        <v>2014</v>
      </c>
      <c r="D21" s="477">
        <v>89749.47209653091</v>
      </c>
      <c r="E21" s="478">
        <v>1857.0384615384614</v>
      </c>
      <c r="F21" s="477">
        <v>87892.433634992442</v>
      </c>
      <c r="G21" s="478">
        <v>13956.038461538461</v>
      </c>
      <c r="H21" s="479">
        <v>13956.038461538461</v>
      </c>
      <c r="I21" s="473">
        <v>0</v>
      </c>
      <c r="J21" s="473"/>
      <c r="K21" s="474">
        <f t="shared" si="1"/>
        <v>13956.038461538461</v>
      </c>
      <c r="L21" s="548">
        <f t="shared" si="7"/>
        <v>0</v>
      </c>
      <c r="M21" s="474">
        <f t="shared" si="3"/>
        <v>13956.038461538461</v>
      </c>
      <c r="N21" s="476">
        <f t="shared" si="8"/>
        <v>0</v>
      </c>
      <c r="O21" s="476">
        <f t="shared" si="9"/>
        <v>0</v>
      </c>
      <c r="P21" s="241"/>
    </row>
    <row r="22" spans="2:16">
      <c r="B22" s="160" t="str">
        <f t="shared" si="6"/>
        <v/>
      </c>
      <c r="C22" s="470">
        <f>IF(D11="","-",+C21+1)</f>
        <v>2015</v>
      </c>
      <c r="D22" s="477">
        <v>87892.433634992442</v>
      </c>
      <c r="E22" s="478">
        <v>1857.0384615384614</v>
      </c>
      <c r="F22" s="477">
        <v>86035.395173453973</v>
      </c>
      <c r="G22" s="478">
        <v>13719.038461538461</v>
      </c>
      <c r="H22" s="479">
        <v>13719.038461538461</v>
      </c>
      <c r="I22" s="473">
        <v>0</v>
      </c>
      <c r="J22" s="473"/>
      <c r="K22" s="474">
        <f t="shared" si="1"/>
        <v>13719.038461538461</v>
      </c>
      <c r="L22" s="548">
        <f t="shared" si="7"/>
        <v>0</v>
      </c>
      <c r="M22" s="474">
        <f t="shared" si="3"/>
        <v>13719.038461538461</v>
      </c>
      <c r="N22" s="476">
        <f t="shared" si="8"/>
        <v>0</v>
      </c>
      <c r="O22" s="476">
        <f t="shared" si="9"/>
        <v>0</v>
      </c>
      <c r="P22" s="241"/>
    </row>
    <row r="23" spans="2:16">
      <c r="B23" s="160" t="str">
        <f t="shared" si="6"/>
        <v/>
      </c>
      <c r="C23" s="470">
        <f>IF(D11="","-",+C22+1)</f>
        <v>2016</v>
      </c>
      <c r="D23" s="477">
        <v>86035.395173453973</v>
      </c>
      <c r="E23" s="478">
        <v>1857.0384615384614</v>
      </c>
      <c r="F23" s="477">
        <v>84178.356711915505</v>
      </c>
      <c r="G23" s="478">
        <v>12898.038461538461</v>
      </c>
      <c r="H23" s="479">
        <v>12898.038461538461</v>
      </c>
      <c r="I23" s="473">
        <f t="shared" si="0"/>
        <v>0</v>
      </c>
      <c r="J23" s="473"/>
      <c r="K23" s="474">
        <f t="shared" ref="K23:K28" si="10">G23</f>
        <v>12898.038461538461</v>
      </c>
      <c r="L23" s="548">
        <f t="shared" si="7"/>
        <v>0</v>
      </c>
      <c r="M23" s="474">
        <f t="shared" ref="M23:M28" si="11">H23</f>
        <v>12898.038461538461</v>
      </c>
      <c r="N23" s="476">
        <f t="shared" si="8"/>
        <v>0</v>
      </c>
      <c r="O23" s="476">
        <f t="shared" si="9"/>
        <v>0</v>
      </c>
      <c r="P23" s="241"/>
    </row>
    <row r="24" spans="2:16">
      <c r="B24" s="160" t="str">
        <f t="shared" si="6"/>
        <v/>
      </c>
      <c r="C24" s="470">
        <f>IF(D11="","-",+C23+1)</f>
        <v>2017</v>
      </c>
      <c r="D24" s="477">
        <v>84178.356711915505</v>
      </c>
      <c r="E24" s="478">
        <v>2099.2608695652175</v>
      </c>
      <c r="F24" s="477">
        <v>82079.095842350289</v>
      </c>
      <c r="G24" s="478">
        <v>12544.260869565218</v>
      </c>
      <c r="H24" s="479">
        <v>12544.260869565218</v>
      </c>
      <c r="I24" s="473">
        <f t="shared" si="0"/>
        <v>0</v>
      </c>
      <c r="J24" s="473"/>
      <c r="K24" s="474">
        <f t="shared" si="10"/>
        <v>12544.260869565218</v>
      </c>
      <c r="L24" s="548">
        <f t="shared" si="7"/>
        <v>0</v>
      </c>
      <c r="M24" s="474">
        <f t="shared" si="11"/>
        <v>12544.260869565218</v>
      </c>
      <c r="N24" s="476">
        <f t="shared" si="8"/>
        <v>0</v>
      </c>
      <c r="O24" s="476">
        <f t="shared" si="9"/>
        <v>0</v>
      </c>
      <c r="P24" s="241"/>
    </row>
    <row r="25" spans="2:16">
      <c r="B25" s="160" t="str">
        <f t="shared" si="6"/>
        <v/>
      </c>
      <c r="C25" s="470">
        <f>IF(D11="","-",+C24+1)</f>
        <v>2018</v>
      </c>
      <c r="D25" s="477">
        <v>82079.095842350289</v>
      </c>
      <c r="E25" s="478">
        <v>2145.911111111111</v>
      </c>
      <c r="F25" s="477">
        <v>79933.184731239176</v>
      </c>
      <c r="G25" s="478">
        <v>11847.120662682713</v>
      </c>
      <c r="H25" s="479">
        <v>11847.120662682713</v>
      </c>
      <c r="I25" s="473">
        <f t="shared" si="0"/>
        <v>0</v>
      </c>
      <c r="J25" s="473"/>
      <c r="K25" s="474">
        <f t="shared" si="10"/>
        <v>11847.120662682713</v>
      </c>
      <c r="L25" s="548">
        <f t="shared" si="7"/>
        <v>0</v>
      </c>
      <c r="M25" s="474">
        <f t="shared" si="11"/>
        <v>11847.120662682713</v>
      </c>
      <c r="N25" s="476">
        <f t="shared" si="8"/>
        <v>0</v>
      </c>
      <c r="O25" s="476">
        <f t="shared" si="9"/>
        <v>0</v>
      </c>
      <c r="P25" s="241"/>
    </row>
    <row r="26" spans="2:16">
      <c r="B26" s="160" t="str">
        <f t="shared" si="6"/>
        <v/>
      </c>
      <c r="C26" s="470">
        <f>IF(D11="","-",+C25+1)</f>
        <v>2019</v>
      </c>
      <c r="D26" s="477">
        <v>79933.184731239176</v>
      </c>
      <c r="E26" s="478">
        <v>2414.15</v>
      </c>
      <c r="F26" s="477">
        <v>77519.034731239182</v>
      </c>
      <c r="G26" s="478">
        <v>11204.44220775155</v>
      </c>
      <c r="H26" s="479">
        <v>11204.44220775155</v>
      </c>
      <c r="I26" s="473">
        <f t="shared" si="0"/>
        <v>0</v>
      </c>
      <c r="J26" s="473"/>
      <c r="K26" s="474">
        <f t="shared" si="10"/>
        <v>11204.44220775155</v>
      </c>
      <c r="L26" s="548">
        <f t="shared" ref="L26" si="12">IF(K26&lt;&gt;0,+G26-K26,0)</f>
        <v>0</v>
      </c>
      <c r="M26" s="474">
        <f t="shared" si="11"/>
        <v>11204.44220775155</v>
      </c>
      <c r="N26" s="476">
        <f t="shared" ref="N26" si="13">IF(M26&lt;&gt;0,+H26-M26,0)</f>
        <v>0</v>
      </c>
      <c r="O26" s="476">
        <f t="shared" ref="O26" si="14">+N26-L26</f>
        <v>0</v>
      </c>
      <c r="P26" s="241"/>
    </row>
    <row r="27" spans="2:16">
      <c r="B27" s="564" t="str">
        <f t="shared" si="6"/>
        <v>IU</v>
      </c>
      <c r="C27" s="470">
        <f>IF(D11="","-",+C26+1)</f>
        <v>2020</v>
      </c>
      <c r="D27" s="477">
        <v>77787.273620128064</v>
      </c>
      <c r="E27" s="478">
        <v>2299.1904761904761</v>
      </c>
      <c r="F27" s="477">
        <v>75488.083143937591</v>
      </c>
      <c r="G27" s="478">
        <v>10576.425832738674</v>
      </c>
      <c r="H27" s="479">
        <v>10576.425832738674</v>
      </c>
      <c r="I27" s="473">
        <f t="shared" si="0"/>
        <v>0</v>
      </c>
      <c r="J27" s="473"/>
      <c r="K27" s="474">
        <f t="shared" si="10"/>
        <v>10576.425832738674</v>
      </c>
      <c r="L27" s="548">
        <f t="shared" ref="L27" si="15">IF(K27&lt;&gt;0,+G27-K27,0)</f>
        <v>0</v>
      </c>
      <c r="M27" s="474">
        <f t="shared" si="11"/>
        <v>10576.425832738674</v>
      </c>
      <c r="N27" s="476">
        <f t="shared" si="4"/>
        <v>0</v>
      </c>
      <c r="O27" s="476">
        <f t="shared" si="5"/>
        <v>0</v>
      </c>
      <c r="P27" s="241"/>
    </row>
    <row r="28" spans="2:16">
      <c r="B28" s="160" t="str">
        <f t="shared" si="6"/>
        <v>IU</v>
      </c>
      <c r="C28" s="470">
        <f>IF(D11="","-",+C27+1)</f>
        <v>2021</v>
      </c>
      <c r="D28" s="477">
        <v>75219.844255048723</v>
      </c>
      <c r="E28" s="478">
        <v>2245.7209302325582</v>
      </c>
      <c r="F28" s="477">
        <v>72974.123324816159</v>
      </c>
      <c r="G28" s="478">
        <v>10113.720930232557</v>
      </c>
      <c r="H28" s="479">
        <v>10113.720930232557</v>
      </c>
      <c r="I28" s="473">
        <f t="shared" si="0"/>
        <v>0</v>
      </c>
      <c r="J28" s="473"/>
      <c r="K28" s="474">
        <f t="shared" si="10"/>
        <v>10113.720930232557</v>
      </c>
      <c r="L28" s="548">
        <f t="shared" ref="L28" si="16">IF(K28&lt;&gt;0,+G28-K28,0)</f>
        <v>0</v>
      </c>
      <c r="M28" s="474">
        <f t="shared" si="11"/>
        <v>10113.720930232557</v>
      </c>
      <c r="N28" s="476">
        <f t="shared" si="4"/>
        <v>0</v>
      </c>
      <c r="O28" s="476">
        <f t="shared" si="5"/>
        <v>0</v>
      </c>
      <c r="P28" s="241"/>
    </row>
    <row r="29" spans="2:16">
      <c r="B29" s="160" t="str">
        <f t="shared" si="6"/>
        <v/>
      </c>
      <c r="C29" s="470">
        <f>IF(D11="","-",+C28+1)</f>
        <v>2022</v>
      </c>
      <c r="D29" s="477">
        <v>72974.123324816159</v>
      </c>
      <c r="E29" s="478">
        <v>2299.1904761904761</v>
      </c>
      <c r="F29" s="477">
        <v>70674.932848625685</v>
      </c>
      <c r="G29" s="478">
        <v>9919.1904761904771</v>
      </c>
      <c r="H29" s="479">
        <v>9919.1904761904771</v>
      </c>
      <c r="I29" s="473">
        <f t="shared" si="0"/>
        <v>0</v>
      </c>
      <c r="J29" s="473"/>
      <c r="K29" s="474">
        <f t="shared" ref="K29" si="17">G29</f>
        <v>9919.1904761904771</v>
      </c>
      <c r="L29" s="548">
        <f t="shared" ref="L29" si="18">IF(K29&lt;&gt;0,+G29-K29,0)</f>
        <v>0</v>
      </c>
      <c r="M29" s="474">
        <f t="shared" ref="M29" si="19">H29</f>
        <v>9919.1904761904771</v>
      </c>
      <c r="N29" s="476">
        <f t="shared" si="4"/>
        <v>0</v>
      </c>
      <c r="O29" s="476">
        <f t="shared" si="5"/>
        <v>0</v>
      </c>
      <c r="P29" s="241"/>
    </row>
    <row r="30" spans="2:16">
      <c r="B30" s="160" t="str">
        <f t="shared" si="6"/>
        <v/>
      </c>
      <c r="C30" s="470">
        <f>IF(D11="","-",+C29+1)</f>
        <v>2023</v>
      </c>
      <c r="D30" s="477">
        <v>70674.932848625685</v>
      </c>
      <c r="E30" s="478">
        <v>2476.0512820512822</v>
      </c>
      <c r="F30" s="477">
        <v>68198.881566574404</v>
      </c>
      <c r="G30" s="478">
        <v>10616.051282051281</v>
      </c>
      <c r="H30" s="479">
        <v>10616.051282051281</v>
      </c>
      <c r="I30" s="473">
        <f t="shared" si="0"/>
        <v>0</v>
      </c>
      <c r="J30" s="473"/>
      <c r="K30" s="474">
        <f t="shared" ref="K30" si="20">G30</f>
        <v>10616.051282051281</v>
      </c>
      <c r="L30" s="548">
        <f t="shared" ref="L30" si="21">IF(K30&lt;&gt;0,+G30-K30,0)</f>
        <v>0</v>
      </c>
      <c r="M30" s="474">
        <f t="shared" ref="M30" si="22">H30</f>
        <v>10616.051282051281</v>
      </c>
      <c r="N30" s="476">
        <f t="shared" ref="N30" si="23">IF(M30&lt;&gt;0,+H30-M30,0)</f>
        <v>0</v>
      </c>
      <c r="O30" s="476">
        <f t="shared" ref="O30" si="24">+N30-L30</f>
        <v>0</v>
      </c>
      <c r="P30" s="241"/>
    </row>
    <row r="31" spans="2:16">
      <c r="B31" s="160" t="str">
        <f t="shared" si="6"/>
        <v/>
      </c>
      <c r="C31" s="631">
        <f>IF(D11="","-",+C30+1)</f>
        <v>2024</v>
      </c>
      <c r="D31" s="483">
        <f>IF(F30+SUM(E$17:E30)=D$10,F30,D$10-SUM(E$17:E30))</f>
        <v>68198.881566574404</v>
      </c>
      <c r="E31" s="482">
        <f>IF(+I14&lt;F30,I14,D31)</f>
        <v>2541.2105263157896</v>
      </c>
      <c r="F31" s="483">
        <f t="shared" ref="F31:F48" si="25">+D31-E31</f>
        <v>65657.671040258618</v>
      </c>
      <c r="G31" s="484">
        <f t="shared" ref="G31:G72" si="26">ROUND(I$12*F31,0)+E31</f>
        <v>10009.21052631579</v>
      </c>
      <c r="H31" s="453">
        <f t="shared" ref="H31:H72" si="27">ROUND(I$13*F31,0)+E31</f>
        <v>10009.21052631579</v>
      </c>
      <c r="I31" s="473">
        <f t="shared" si="0"/>
        <v>0</v>
      </c>
      <c r="J31" s="473"/>
      <c r="K31" s="485"/>
      <c r="L31" s="476">
        <f t="shared" si="2"/>
        <v>0</v>
      </c>
      <c r="M31" s="485"/>
      <c r="N31" s="476">
        <f t="shared" si="4"/>
        <v>0</v>
      </c>
      <c r="O31" s="476">
        <f t="shared" si="5"/>
        <v>0</v>
      </c>
      <c r="P31" s="241"/>
    </row>
    <row r="32" spans="2:16">
      <c r="B32" s="160" t="str">
        <f t="shared" si="6"/>
        <v/>
      </c>
      <c r="C32" s="470">
        <f>IF(D11="","-",+C31+1)</f>
        <v>2025</v>
      </c>
      <c r="D32" s="483">
        <f>IF(F31+SUM(E$17:E31)=D$10,F31,D$10-SUM(E$17:E31))</f>
        <v>65657.671040258618</v>
      </c>
      <c r="E32" s="482">
        <f>IF(+I14&lt;F31,I14,D32)</f>
        <v>2541.2105263157896</v>
      </c>
      <c r="F32" s="483">
        <f t="shared" si="25"/>
        <v>63116.460513942831</v>
      </c>
      <c r="G32" s="484">
        <f t="shared" si="26"/>
        <v>9720.21052631579</v>
      </c>
      <c r="H32" s="453">
        <f t="shared" si="27"/>
        <v>9720.21052631579</v>
      </c>
      <c r="I32" s="473">
        <f t="shared" si="0"/>
        <v>0</v>
      </c>
      <c r="J32" s="473"/>
      <c r="K32" s="485"/>
      <c r="L32" s="476">
        <f t="shared" si="2"/>
        <v>0</v>
      </c>
      <c r="M32" s="485"/>
      <c r="N32" s="476">
        <f t="shared" si="4"/>
        <v>0</v>
      </c>
      <c r="O32" s="476">
        <f t="shared" si="5"/>
        <v>0</v>
      </c>
      <c r="P32" s="241"/>
    </row>
    <row r="33" spans="2:16">
      <c r="B33" s="160" t="str">
        <f t="shared" si="6"/>
        <v/>
      </c>
      <c r="C33" s="470">
        <f>IF(D11="","-",+C32+1)</f>
        <v>2026</v>
      </c>
      <c r="D33" s="483">
        <f>IF(F32+SUM(E$17:E32)=D$10,F32,D$10-SUM(E$17:E32))</f>
        <v>63116.460513942831</v>
      </c>
      <c r="E33" s="482">
        <f>IF(+I14&lt;F32,I14,D33)</f>
        <v>2541.2105263157896</v>
      </c>
      <c r="F33" s="483">
        <f t="shared" si="25"/>
        <v>60575.249987627045</v>
      </c>
      <c r="G33" s="484">
        <f t="shared" si="26"/>
        <v>9431.21052631579</v>
      </c>
      <c r="H33" s="453">
        <f t="shared" si="27"/>
        <v>9431.21052631579</v>
      </c>
      <c r="I33" s="473">
        <f t="shared" si="0"/>
        <v>0</v>
      </c>
      <c r="J33" s="473"/>
      <c r="K33" s="485"/>
      <c r="L33" s="476">
        <f t="shared" si="2"/>
        <v>0</v>
      </c>
      <c r="M33" s="485"/>
      <c r="N33" s="476">
        <f t="shared" si="4"/>
        <v>0</v>
      </c>
      <c r="O33" s="476">
        <f t="shared" si="5"/>
        <v>0</v>
      </c>
      <c r="P33" s="241"/>
    </row>
    <row r="34" spans="2:16">
      <c r="B34" s="160" t="str">
        <f t="shared" si="6"/>
        <v/>
      </c>
      <c r="C34" s="470">
        <f>IF(D11="","-",+C33+1)</f>
        <v>2027</v>
      </c>
      <c r="D34" s="483">
        <f>IF(F33+SUM(E$17:E33)=D$10,F33,D$10-SUM(E$17:E33))</f>
        <v>60575.249987627045</v>
      </c>
      <c r="E34" s="482">
        <f>IF(+I14&lt;F33,I14,D34)</f>
        <v>2541.2105263157896</v>
      </c>
      <c r="F34" s="483">
        <f t="shared" si="25"/>
        <v>58034.039461311258</v>
      </c>
      <c r="G34" s="484">
        <f t="shared" si="26"/>
        <v>9142.21052631579</v>
      </c>
      <c r="H34" s="453">
        <f t="shared" si="27"/>
        <v>9142.21052631579</v>
      </c>
      <c r="I34" s="473">
        <f t="shared" si="0"/>
        <v>0</v>
      </c>
      <c r="J34" s="473"/>
      <c r="K34" s="485"/>
      <c r="L34" s="476">
        <f t="shared" si="2"/>
        <v>0</v>
      </c>
      <c r="M34" s="485"/>
      <c r="N34" s="476">
        <f t="shared" si="4"/>
        <v>0</v>
      </c>
      <c r="O34" s="476">
        <f t="shared" si="5"/>
        <v>0</v>
      </c>
      <c r="P34" s="241"/>
    </row>
    <row r="35" spans="2:16">
      <c r="B35" s="160" t="str">
        <f t="shared" si="6"/>
        <v/>
      </c>
      <c r="C35" s="470">
        <f>IF(D11="","-",+C34+1)</f>
        <v>2028</v>
      </c>
      <c r="D35" s="483">
        <f>IF(F34+SUM(E$17:E34)=D$10,F34,D$10-SUM(E$17:E34))</f>
        <v>58034.039461311258</v>
      </c>
      <c r="E35" s="482">
        <f>IF(+I14&lt;F34,I14,D35)</f>
        <v>2541.2105263157896</v>
      </c>
      <c r="F35" s="483">
        <f t="shared" si="25"/>
        <v>55492.828934995472</v>
      </c>
      <c r="G35" s="484">
        <f t="shared" si="26"/>
        <v>8853.21052631579</v>
      </c>
      <c r="H35" s="453">
        <f t="shared" si="27"/>
        <v>8853.21052631579</v>
      </c>
      <c r="I35" s="473">
        <f t="shared" si="0"/>
        <v>0</v>
      </c>
      <c r="J35" s="473"/>
      <c r="K35" s="485"/>
      <c r="L35" s="476">
        <f t="shared" si="2"/>
        <v>0</v>
      </c>
      <c r="M35" s="485"/>
      <c r="N35" s="476">
        <f t="shared" si="4"/>
        <v>0</v>
      </c>
      <c r="O35" s="476">
        <f t="shared" si="5"/>
        <v>0</v>
      </c>
      <c r="P35" s="241"/>
    </row>
    <row r="36" spans="2:16">
      <c r="B36" s="160" t="str">
        <f t="shared" si="6"/>
        <v/>
      </c>
      <c r="C36" s="470">
        <f>IF(D11="","-",+C35+1)</f>
        <v>2029</v>
      </c>
      <c r="D36" s="483">
        <f>IF(F35+SUM(E$17:E35)=D$10,F35,D$10-SUM(E$17:E35))</f>
        <v>55492.828934995472</v>
      </c>
      <c r="E36" s="482">
        <f>IF(+I14&lt;F35,I14,D36)</f>
        <v>2541.2105263157896</v>
      </c>
      <c r="F36" s="483">
        <f t="shared" si="25"/>
        <v>52951.618408679686</v>
      </c>
      <c r="G36" s="484">
        <f t="shared" si="26"/>
        <v>8564.21052631579</v>
      </c>
      <c r="H36" s="453">
        <f t="shared" si="27"/>
        <v>8564.21052631579</v>
      </c>
      <c r="I36" s="473">
        <f t="shared" si="0"/>
        <v>0</v>
      </c>
      <c r="J36" s="473"/>
      <c r="K36" s="485"/>
      <c r="L36" s="476">
        <f t="shared" si="2"/>
        <v>0</v>
      </c>
      <c r="M36" s="485"/>
      <c r="N36" s="476">
        <f t="shared" si="4"/>
        <v>0</v>
      </c>
      <c r="O36" s="476">
        <f t="shared" si="5"/>
        <v>0</v>
      </c>
      <c r="P36" s="241"/>
    </row>
    <row r="37" spans="2:16">
      <c r="B37" s="160" t="str">
        <f t="shared" si="6"/>
        <v/>
      </c>
      <c r="C37" s="470">
        <f>IF(D11="","-",+C36+1)</f>
        <v>2030</v>
      </c>
      <c r="D37" s="483">
        <f>IF(F36+SUM(E$17:E36)=D$10,F36,D$10-SUM(E$17:E36))</f>
        <v>52951.618408679686</v>
      </c>
      <c r="E37" s="482">
        <f>IF(+I14&lt;F36,I14,D37)</f>
        <v>2541.2105263157896</v>
      </c>
      <c r="F37" s="483">
        <f t="shared" si="25"/>
        <v>50410.407882363899</v>
      </c>
      <c r="G37" s="484">
        <f t="shared" si="26"/>
        <v>8275.21052631579</v>
      </c>
      <c r="H37" s="453">
        <f t="shared" si="27"/>
        <v>8275.21052631579</v>
      </c>
      <c r="I37" s="473">
        <f t="shared" si="0"/>
        <v>0</v>
      </c>
      <c r="J37" s="473"/>
      <c r="K37" s="485"/>
      <c r="L37" s="476">
        <f t="shared" si="2"/>
        <v>0</v>
      </c>
      <c r="M37" s="485"/>
      <c r="N37" s="476">
        <f t="shared" si="4"/>
        <v>0</v>
      </c>
      <c r="O37" s="476">
        <f t="shared" si="5"/>
        <v>0</v>
      </c>
      <c r="P37" s="241"/>
    </row>
    <row r="38" spans="2:16">
      <c r="B38" s="160" t="str">
        <f t="shared" si="6"/>
        <v/>
      </c>
      <c r="C38" s="470">
        <f>IF(D11="","-",+C37+1)</f>
        <v>2031</v>
      </c>
      <c r="D38" s="483">
        <f>IF(F37+SUM(E$17:E37)=D$10,F37,D$10-SUM(E$17:E37))</f>
        <v>50410.407882363899</v>
      </c>
      <c r="E38" s="482">
        <f>IF(+I14&lt;F37,I14,D38)</f>
        <v>2541.2105263157896</v>
      </c>
      <c r="F38" s="483">
        <f t="shared" si="25"/>
        <v>47869.197356048113</v>
      </c>
      <c r="G38" s="484">
        <f t="shared" si="26"/>
        <v>7986.21052631579</v>
      </c>
      <c r="H38" s="453">
        <f t="shared" si="27"/>
        <v>7986.21052631579</v>
      </c>
      <c r="I38" s="473">
        <f t="shared" si="0"/>
        <v>0</v>
      </c>
      <c r="J38" s="473"/>
      <c r="K38" s="485"/>
      <c r="L38" s="476">
        <f t="shared" si="2"/>
        <v>0</v>
      </c>
      <c r="M38" s="485"/>
      <c r="N38" s="476">
        <f t="shared" si="4"/>
        <v>0</v>
      </c>
      <c r="O38" s="476">
        <f t="shared" si="5"/>
        <v>0</v>
      </c>
      <c r="P38" s="241"/>
    </row>
    <row r="39" spans="2:16">
      <c r="B39" s="160" t="str">
        <f t="shared" si="6"/>
        <v/>
      </c>
      <c r="C39" s="470">
        <f>IF(D11="","-",+C38+1)</f>
        <v>2032</v>
      </c>
      <c r="D39" s="483">
        <f>IF(F38+SUM(E$17:E38)=D$10,F38,D$10-SUM(E$17:E38))</f>
        <v>47869.197356048113</v>
      </c>
      <c r="E39" s="482">
        <f>IF(+I14&lt;F38,I14,D39)</f>
        <v>2541.2105263157896</v>
      </c>
      <c r="F39" s="483">
        <f t="shared" si="25"/>
        <v>45327.986829732326</v>
      </c>
      <c r="G39" s="484">
        <f t="shared" si="26"/>
        <v>7697.21052631579</v>
      </c>
      <c r="H39" s="453">
        <f t="shared" si="27"/>
        <v>7697.21052631579</v>
      </c>
      <c r="I39" s="473">
        <f t="shared" si="0"/>
        <v>0</v>
      </c>
      <c r="J39" s="473"/>
      <c r="K39" s="485"/>
      <c r="L39" s="476">
        <f t="shared" si="2"/>
        <v>0</v>
      </c>
      <c r="M39" s="485"/>
      <c r="N39" s="476">
        <f t="shared" si="4"/>
        <v>0</v>
      </c>
      <c r="O39" s="476">
        <f t="shared" si="5"/>
        <v>0</v>
      </c>
      <c r="P39" s="241"/>
    </row>
    <row r="40" spans="2:16">
      <c r="B40" s="160" t="str">
        <f t="shared" si="6"/>
        <v/>
      </c>
      <c r="C40" s="470">
        <f>IF(D11="","-",+C39+1)</f>
        <v>2033</v>
      </c>
      <c r="D40" s="483">
        <f>IF(F39+SUM(E$17:E39)=D$10,F39,D$10-SUM(E$17:E39))</f>
        <v>45327.986829732326</v>
      </c>
      <c r="E40" s="482">
        <f>IF(+I14&lt;F39,I14,D40)</f>
        <v>2541.2105263157896</v>
      </c>
      <c r="F40" s="483">
        <f t="shared" si="25"/>
        <v>42786.77630341654</v>
      </c>
      <c r="G40" s="484">
        <f t="shared" si="26"/>
        <v>7408.21052631579</v>
      </c>
      <c r="H40" s="453">
        <f t="shared" si="27"/>
        <v>7408.21052631579</v>
      </c>
      <c r="I40" s="473">
        <f t="shared" si="0"/>
        <v>0</v>
      </c>
      <c r="J40" s="473"/>
      <c r="K40" s="485"/>
      <c r="L40" s="476">
        <f t="shared" si="2"/>
        <v>0</v>
      </c>
      <c r="M40" s="485"/>
      <c r="N40" s="476">
        <f t="shared" si="4"/>
        <v>0</v>
      </c>
      <c r="O40" s="476">
        <f t="shared" si="5"/>
        <v>0</v>
      </c>
      <c r="P40" s="241"/>
    </row>
    <row r="41" spans="2:16">
      <c r="B41" s="160" t="str">
        <f t="shared" si="6"/>
        <v/>
      </c>
      <c r="C41" s="470">
        <f>IF(D11="","-",+C40+1)</f>
        <v>2034</v>
      </c>
      <c r="D41" s="483">
        <f>IF(F40+SUM(E$17:E40)=D$10,F40,D$10-SUM(E$17:E40))</f>
        <v>42786.77630341654</v>
      </c>
      <c r="E41" s="482">
        <f>IF(+I14&lt;F40,I14,D41)</f>
        <v>2541.2105263157896</v>
      </c>
      <c r="F41" s="483">
        <f t="shared" si="25"/>
        <v>40245.565777100754</v>
      </c>
      <c r="G41" s="484">
        <f t="shared" si="26"/>
        <v>7119.21052631579</v>
      </c>
      <c r="H41" s="453">
        <f t="shared" si="27"/>
        <v>7119.21052631579</v>
      </c>
      <c r="I41" s="473">
        <f t="shared" si="0"/>
        <v>0</v>
      </c>
      <c r="J41" s="473"/>
      <c r="K41" s="485"/>
      <c r="L41" s="476">
        <f t="shared" si="2"/>
        <v>0</v>
      </c>
      <c r="M41" s="485"/>
      <c r="N41" s="476">
        <f t="shared" si="4"/>
        <v>0</v>
      </c>
      <c r="O41" s="476">
        <f t="shared" si="5"/>
        <v>0</v>
      </c>
      <c r="P41" s="241"/>
    </row>
    <row r="42" spans="2:16">
      <c r="B42" s="160" t="str">
        <f t="shared" si="6"/>
        <v/>
      </c>
      <c r="C42" s="470">
        <f>IF(D11="","-",+C41+1)</f>
        <v>2035</v>
      </c>
      <c r="D42" s="483">
        <f>IF(F41+SUM(E$17:E41)=D$10,F41,D$10-SUM(E$17:E41))</f>
        <v>40245.565777100754</v>
      </c>
      <c r="E42" s="482">
        <f>IF(+I14&lt;F41,I14,D42)</f>
        <v>2541.2105263157896</v>
      </c>
      <c r="F42" s="483">
        <f t="shared" si="25"/>
        <v>37704.355250784967</v>
      </c>
      <c r="G42" s="484">
        <f t="shared" si="26"/>
        <v>6830.21052631579</v>
      </c>
      <c r="H42" s="453">
        <f t="shared" si="27"/>
        <v>6830.21052631579</v>
      </c>
      <c r="I42" s="473">
        <f t="shared" si="0"/>
        <v>0</v>
      </c>
      <c r="J42" s="473"/>
      <c r="K42" s="485"/>
      <c r="L42" s="476">
        <f t="shared" si="2"/>
        <v>0</v>
      </c>
      <c r="M42" s="485"/>
      <c r="N42" s="476">
        <f t="shared" si="4"/>
        <v>0</v>
      </c>
      <c r="O42" s="476">
        <f t="shared" si="5"/>
        <v>0</v>
      </c>
      <c r="P42" s="241"/>
    </row>
    <row r="43" spans="2:16">
      <c r="B43" s="160" t="str">
        <f t="shared" si="6"/>
        <v/>
      </c>
      <c r="C43" s="470">
        <f>IF(D11="","-",+C42+1)</f>
        <v>2036</v>
      </c>
      <c r="D43" s="483">
        <f>IF(F42+SUM(E$17:E42)=D$10,F42,D$10-SUM(E$17:E42))</f>
        <v>37704.355250784967</v>
      </c>
      <c r="E43" s="482">
        <f>IF(+I14&lt;F42,I14,D43)</f>
        <v>2541.2105263157896</v>
      </c>
      <c r="F43" s="483">
        <f t="shared" si="25"/>
        <v>35163.144724469181</v>
      </c>
      <c r="G43" s="484">
        <f t="shared" si="26"/>
        <v>6540.21052631579</v>
      </c>
      <c r="H43" s="453">
        <f t="shared" si="27"/>
        <v>6540.21052631579</v>
      </c>
      <c r="I43" s="473">
        <f t="shared" si="0"/>
        <v>0</v>
      </c>
      <c r="J43" s="473"/>
      <c r="K43" s="485"/>
      <c r="L43" s="476">
        <f t="shared" si="2"/>
        <v>0</v>
      </c>
      <c r="M43" s="485"/>
      <c r="N43" s="476">
        <f t="shared" si="4"/>
        <v>0</v>
      </c>
      <c r="O43" s="476">
        <f t="shared" si="5"/>
        <v>0</v>
      </c>
      <c r="P43" s="241"/>
    </row>
    <row r="44" spans="2:16">
      <c r="B44" s="160" t="str">
        <f t="shared" si="6"/>
        <v/>
      </c>
      <c r="C44" s="470">
        <f>IF(D11="","-",+C43+1)</f>
        <v>2037</v>
      </c>
      <c r="D44" s="483">
        <f>IF(F43+SUM(E$17:E43)=D$10,F43,D$10-SUM(E$17:E43))</f>
        <v>35163.144724469181</v>
      </c>
      <c r="E44" s="482">
        <f>IF(+I14&lt;F43,I14,D44)</f>
        <v>2541.2105263157896</v>
      </c>
      <c r="F44" s="483">
        <f t="shared" si="25"/>
        <v>32621.934198153391</v>
      </c>
      <c r="G44" s="484">
        <f t="shared" si="26"/>
        <v>6251.21052631579</v>
      </c>
      <c r="H44" s="453">
        <f t="shared" si="27"/>
        <v>6251.21052631579</v>
      </c>
      <c r="I44" s="473">
        <f t="shared" si="0"/>
        <v>0</v>
      </c>
      <c r="J44" s="473"/>
      <c r="K44" s="485"/>
      <c r="L44" s="476">
        <f t="shared" si="2"/>
        <v>0</v>
      </c>
      <c r="M44" s="485"/>
      <c r="N44" s="476">
        <f t="shared" si="4"/>
        <v>0</v>
      </c>
      <c r="O44" s="476">
        <f t="shared" si="5"/>
        <v>0</v>
      </c>
      <c r="P44" s="241"/>
    </row>
    <row r="45" spans="2:16">
      <c r="B45" s="160" t="str">
        <f t="shared" si="6"/>
        <v/>
      </c>
      <c r="C45" s="470">
        <f>IF(D11="","-",+C44+1)</f>
        <v>2038</v>
      </c>
      <c r="D45" s="483">
        <f>IF(F44+SUM(E$17:E44)=D$10,F44,D$10-SUM(E$17:E44))</f>
        <v>32621.934198153391</v>
      </c>
      <c r="E45" s="482">
        <f>IF(+I14&lt;F44,I14,D45)</f>
        <v>2541.2105263157896</v>
      </c>
      <c r="F45" s="483">
        <f t="shared" si="25"/>
        <v>30080.723671837601</v>
      </c>
      <c r="G45" s="484">
        <f t="shared" si="26"/>
        <v>5962.21052631579</v>
      </c>
      <c r="H45" s="453">
        <f t="shared" si="27"/>
        <v>5962.21052631579</v>
      </c>
      <c r="I45" s="473">
        <f t="shared" si="0"/>
        <v>0</v>
      </c>
      <c r="J45" s="473"/>
      <c r="K45" s="485"/>
      <c r="L45" s="476">
        <f t="shared" si="2"/>
        <v>0</v>
      </c>
      <c r="M45" s="485"/>
      <c r="N45" s="476">
        <f t="shared" si="4"/>
        <v>0</v>
      </c>
      <c r="O45" s="476">
        <f t="shared" si="5"/>
        <v>0</v>
      </c>
      <c r="P45" s="241"/>
    </row>
    <row r="46" spans="2:16">
      <c r="B46" s="160" t="str">
        <f t="shared" si="6"/>
        <v/>
      </c>
      <c r="C46" s="470">
        <f>IF(D11="","-",+C45+1)</f>
        <v>2039</v>
      </c>
      <c r="D46" s="483">
        <f>IF(F45+SUM(E$17:E45)=D$10,F45,D$10-SUM(E$17:E45))</f>
        <v>30080.723671837601</v>
      </c>
      <c r="E46" s="482">
        <f>IF(+I14&lt;F45,I14,D46)</f>
        <v>2541.2105263157896</v>
      </c>
      <c r="F46" s="483">
        <f t="shared" si="25"/>
        <v>27539.513145521811</v>
      </c>
      <c r="G46" s="484">
        <f t="shared" si="26"/>
        <v>5673.21052631579</v>
      </c>
      <c r="H46" s="453">
        <f t="shared" si="27"/>
        <v>5673.21052631579</v>
      </c>
      <c r="I46" s="473">
        <f t="shared" si="0"/>
        <v>0</v>
      </c>
      <c r="J46" s="473"/>
      <c r="K46" s="485"/>
      <c r="L46" s="476">
        <f t="shared" si="2"/>
        <v>0</v>
      </c>
      <c r="M46" s="485"/>
      <c r="N46" s="476">
        <f t="shared" si="4"/>
        <v>0</v>
      </c>
      <c r="O46" s="476">
        <f t="shared" si="5"/>
        <v>0</v>
      </c>
      <c r="P46" s="241"/>
    </row>
    <row r="47" spans="2:16">
      <c r="B47" s="160" t="str">
        <f t="shared" si="6"/>
        <v/>
      </c>
      <c r="C47" s="470">
        <f>IF(D11="","-",+C46+1)</f>
        <v>2040</v>
      </c>
      <c r="D47" s="483">
        <f>IF(F46+SUM(E$17:E46)=D$10,F46,D$10-SUM(E$17:E46))</f>
        <v>27539.513145521811</v>
      </c>
      <c r="E47" s="482">
        <f>IF(+I14&lt;F46,I14,D47)</f>
        <v>2541.2105263157896</v>
      </c>
      <c r="F47" s="483">
        <f t="shared" si="25"/>
        <v>24998.302619206021</v>
      </c>
      <c r="G47" s="484">
        <f t="shared" si="26"/>
        <v>5384.21052631579</v>
      </c>
      <c r="H47" s="453">
        <f t="shared" si="27"/>
        <v>5384.21052631579</v>
      </c>
      <c r="I47" s="473">
        <f t="shared" si="0"/>
        <v>0</v>
      </c>
      <c r="J47" s="473"/>
      <c r="K47" s="485"/>
      <c r="L47" s="476">
        <f t="shared" si="2"/>
        <v>0</v>
      </c>
      <c r="M47" s="485"/>
      <c r="N47" s="476">
        <f t="shared" si="4"/>
        <v>0</v>
      </c>
      <c r="O47" s="476">
        <f t="shared" si="5"/>
        <v>0</v>
      </c>
      <c r="P47" s="241"/>
    </row>
    <row r="48" spans="2:16">
      <c r="B48" s="160" t="str">
        <f t="shared" si="6"/>
        <v/>
      </c>
      <c r="C48" s="470">
        <f>IF(D11="","-",+C47+1)</f>
        <v>2041</v>
      </c>
      <c r="D48" s="483">
        <f>IF(F47+SUM(E$17:E47)=D$10,F47,D$10-SUM(E$17:E47))</f>
        <v>24998.302619206021</v>
      </c>
      <c r="E48" s="482">
        <f>IF(+I14&lt;F47,I14,D48)</f>
        <v>2541.2105263157896</v>
      </c>
      <c r="F48" s="483">
        <f t="shared" si="25"/>
        <v>22457.092092890231</v>
      </c>
      <c r="G48" s="484">
        <f t="shared" si="26"/>
        <v>5095.21052631579</v>
      </c>
      <c r="H48" s="453">
        <f t="shared" si="27"/>
        <v>5095.21052631579</v>
      </c>
      <c r="I48" s="473">
        <f t="shared" si="0"/>
        <v>0</v>
      </c>
      <c r="J48" s="473"/>
      <c r="K48" s="485"/>
      <c r="L48" s="476">
        <f t="shared" si="2"/>
        <v>0</v>
      </c>
      <c r="M48" s="485"/>
      <c r="N48" s="476">
        <f t="shared" si="4"/>
        <v>0</v>
      </c>
      <c r="O48" s="476">
        <f t="shared" si="5"/>
        <v>0</v>
      </c>
      <c r="P48" s="241"/>
    </row>
    <row r="49" spans="2:16">
      <c r="B49" s="160" t="str">
        <f t="shared" si="6"/>
        <v/>
      </c>
      <c r="C49" s="470">
        <f>IF(D11="","-",+C48+1)</f>
        <v>2042</v>
      </c>
      <c r="D49" s="483">
        <f>IF(F48+SUM(E$17:E48)=D$10,F48,D$10-SUM(E$17:E48))</f>
        <v>22457.092092890231</v>
      </c>
      <c r="E49" s="482">
        <f>IF(+I14&lt;F48,I14,D49)</f>
        <v>2541.2105263157896</v>
      </c>
      <c r="F49" s="483">
        <f t="shared" ref="F49:F72" si="28">+D49-E49</f>
        <v>19915.881566574441</v>
      </c>
      <c r="G49" s="484">
        <f t="shared" si="26"/>
        <v>4806.21052631579</v>
      </c>
      <c r="H49" s="453">
        <f t="shared" si="27"/>
        <v>4806.21052631579</v>
      </c>
      <c r="I49" s="473">
        <f t="shared" ref="I49:I72" si="29">H49-G49</f>
        <v>0</v>
      </c>
      <c r="J49" s="473"/>
      <c r="K49" s="485"/>
      <c r="L49" s="476">
        <f t="shared" ref="L49:L72" si="30">IF(K49&lt;&gt;0,+G49-K49,0)</f>
        <v>0</v>
      </c>
      <c r="M49" s="485"/>
      <c r="N49" s="476">
        <f t="shared" ref="N49:N72" si="31">IF(M49&lt;&gt;0,+H49-M49,0)</f>
        <v>0</v>
      </c>
      <c r="O49" s="476">
        <f t="shared" ref="O49:O72" si="32">+N49-L49</f>
        <v>0</v>
      </c>
      <c r="P49" s="241"/>
    </row>
    <row r="50" spans="2:16">
      <c r="B50" s="160" t="str">
        <f t="shared" si="6"/>
        <v/>
      </c>
      <c r="C50" s="470">
        <f>IF(D11="","-",+C49+1)</f>
        <v>2043</v>
      </c>
      <c r="D50" s="483">
        <f>IF(F49+SUM(E$17:E49)=D$10,F49,D$10-SUM(E$17:E49))</f>
        <v>19915.881566574441</v>
      </c>
      <c r="E50" s="482">
        <f>IF(+I14&lt;F49,I14,D50)</f>
        <v>2541.2105263157896</v>
      </c>
      <c r="F50" s="483">
        <f t="shared" si="28"/>
        <v>17374.67104025865</v>
      </c>
      <c r="G50" s="484">
        <f t="shared" si="26"/>
        <v>4517.21052631579</v>
      </c>
      <c r="H50" s="453">
        <f t="shared" si="27"/>
        <v>4517.21052631579</v>
      </c>
      <c r="I50" s="473">
        <f t="shared" si="29"/>
        <v>0</v>
      </c>
      <c r="J50" s="473"/>
      <c r="K50" s="485"/>
      <c r="L50" s="476">
        <f t="shared" si="30"/>
        <v>0</v>
      </c>
      <c r="M50" s="485"/>
      <c r="N50" s="476">
        <f t="shared" si="31"/>
        <v>0</v>
      </c>
      <c r="O50" s="476">
        <f t="shared" si="32"/>
        <v>0</v>
      </c>
      <c r="P50" s="241"/>
    </row>
    <row r="51" spans="2:16">
      <c r="B51" s="160" t="str">
        <f t="shared" si="6"/>
        <v/>
      </c>
      <c r="C51" s="470">
        <f>IF(D11="","-",+C50+1)</f>
        <v>2044</v>
      </c>
      <c r="D51" s="483">
        <f>IF(F50+SUM(E$17:E50)=D$10,F50,D$10-SUM(E$17:E50))</f>
        <v>17374.67104025865</v>
      </c>
      <c r="E51" s="482">
        <f>IF(+I14&lt;F50,I14,D51)</f>
        <v>2541.2105263157896</v>
      </c>
      <c r="F51" s="483">
        <f t="shared" si="28"/>
        <v>14833.46051394286</v>
      </c>
      <c r="G51" s="484">
        <f t="shared" si="26"/>
        <v>4228.21052631579</v>
      </c>
      <c r="H51" s="453">
        <f t="shared" si="27"/>
        <v>4228.21052631579</v>
      </c>
      <c r="I51" s="473">
        <f t="shared" si="29"/>
        <v>0</v>
      </c>
      <c r="J51" s="473"/>
      <c r="K51" s="485"/>
      <c r="L51" s="476">
        <f t="shared" si="30"/>
        <v>0</v>
      </c>
      <c r="M51" s="485"/>
      <c r="N51" s="476">
        <f t="shared" si="31"/>
        <v>0</v>
      </c>
      <c r="O51" s="476">
        <f t="shared" si="32"/>
        <v>0</v>
      </c>
      <c r="P51" s="241"/>
    </row>
    <row r="52" spans="2:16">
      <c r="B52" s="160" t="str">
        <f t="shared" si="6"/>
        <v/>
      </c>
      <c r="C52" s="470">
        <f>IF(D11="","-",+C51+1)</f>
        <v>2045</v>
      </c>
      <c r="D52" s="483">
        <f>IF(F51+SUM(E$17:E51)=D$10,F51,D$10-SUM(E$17:E51))</f>
        <v>14833.46051394286</v>
      </c>
      <c r="E52" s="482">
        <f>IF(+I14&lt;F51,I14,D52)</f>
        <v>2541.2105263157896</v>
      </c>
      <c r="F52" s="483">
        <f t="shared" si="28"/>
        <v>12292.24998762707</v>
      </c>
      <c r="G52" s="484">
        <f t="shared" si="26"/>
        <v>3939.2105263157896</v>
      </c>
      <c r="H52" s="453">
        <f t="shared" si="27"/>
        <v>3939.2105263157896</v>
      </c>
      <c r="I52" s="473">
        <f t="shared" si="29"/>
        <v>0</v>
      </c>
      <c r="J52" s="473"/>
      <c r="K52" s="485"/>
      <c r="L52" s="476">
        <f t="shared" si="30"/>
        <v>0</v>
      </c>
      <c r="M52" s="485"/>
      <c r="N52" s="476">
        <f t="shared" si="31"/>
        <v>0</v>
      </c>
      <c r="O52" s="476">
        <f t="shared" si="32"/>
        <v>0</v>
      </c>
      <c r="P52" s="241"/>
    </row>
    <row r="53" spans="2:16">
      <c r="B53" s="160" t="str">
        <f t="shared" si="6"/>
        <v/>
      </c>
      <c r="C53" s="470">
        <f>IF(D11="","-",+C52+1)</f>
        <v>2046</v>
      </c>
      <c r="D53" s="483">
        <f>IF(F52+SUM(E$17:E52)=D$10,F52,D$10-SUM(E$17:E52))</f>
        <v>12292.24998762707</v>
      </c>
      <c r="E53" s="482">
        <f>IF(+I14&lt;F52,I14,D53)</f>
        <v>2541.2105263157896</v>
      </c>
      <c r="F53" s="483">
        <f t="shared" si="28"/>
        <v>9751.0394613112803</v>
      </c>
      <c r="G53" s="484">
        <f t="shared" si="26"/>
        <v>3650.2105263157896</v>
      </c>
      <c r="H53" s="453">
        <f t="shared" si="27"/>
        <v>3650.2105263157896</v>
      </c>
      <c r="I53" s="473">
        <f t="shared" si="29"/>
        <v>0</v>
      </c>
      <c r="J53" s="473"/>
      <c r="K53" s="485"/>
      <c r="L53" s="476">
        <f t="shared" si="30"/>
        <v>0</v>
      </c>
      <c r="M53" s="485"/>
      <c r="N53" s="476">
        <f t="shared" si="31"/>
        <v>0</v>
      </c>
      <c r="O53" s="476">
        <f t="shared" si="32"/>
        <v>0</v>
      </c>
      <c r="P53" s="241"/>
    </row>
    <row r="54" spans="2:16">
      <c r="B54" s="160" t="str">
        <f t="shared" si="6"/>
        <v/>
      </c>
      <c r="C54" s="470">
        <f>IF(D11="","-",+C53+1)</f>
        <v>2047</v>
      </c>
      <c r="D54" s="483">
        <f>IF(F53+SUM(E$17:E53)=D$10,F53,D$10-SUM(E$17:E53))</f>
        <v>9751.0394613112803</v>
      </c>
      <c r="E54" s="482">
        <f>IF(+I14&lt;F53,I14,D54)</f>
        <v>2541.2105263157896</v>
      </c>
      <c r="F54" s="483">
        <f t="shared" si="28"/>
        <v>7209.8289349954903</v>
      </c>
      <c r="G54" s="484">
        <f t="shared" si="26"/>
        <v>3361.2105263157896</v>
      </c>
      <c r="H54" s="453">
        <f t="shared" si="27"/>
        <v>3361.2105263157896</v>
      </c>
      <c r="I54" s="473">
        <f t="shared" si="29"/>
        <v>0</v>
      </c>
      <c r="J54" s="473"/>
      <c r="K54" s="485"/>
      <c r="L54" s="476">
        <f t="shared" si="30"/>
        <v>0</v>
      </c>
      <c r="M54" s="485"/>
      <c r="N54" s="476">
        <f t="shared" si="31"/>
        <v>0</v>
      </c>
      <c r="O54" s="476">
        <f t="shared" si="32"/>
        <v>0</v>
      </c>
      <c r="P54" s="241"/>
    </row>
    <row r="55" spans="2:16">
      <c r="B55" s="160" t="str">
        <f t="shared" si="6"/>
        <v/>
      </c>
      <c r="C55" s="470">
        <f>IF(D11="","-",+C54+1)</f>
        <v>2048</v>
      </c>
      <c r="D55" s="483">
        <f>IF(F54+SUM(E$17:E54)=D$10,F54,D$10-SUM(E$17:E54))</f>
        <v>7209.8289349954903</v>
      </c>
      <c r="E55" s="482">
        <f>IF(+I14&lt;F54,I14,D55)</f>
        <v>2541.2105263157896</v>
      </c>
      <c r="F55" s="483">
        <f t="shared" si="28"/>
        <v>4668.6184086797002</v>
      </c>
      <c r="G55" s="484">
        <f t="shared" si="26"/>
        <v>3072.2105263157896</v>
      </c>
      <c r="H55" s="453">
        <f t="shared" si="27"/>
        <v>3072.2105263157896</v>
      </c>
      <c r="I55" s="473">
        <f t="shared" si="29"/>
        <v>0</v>
      </c>
      <c r="J55" s="473"/>
      <c r="K55" s="485"/>
      <c r="L55" s="476">
        <f t="shared" si="30"/>
        <v>0</v>
      </c>
      <c r="M55" s="485"/>
      <c r="N55" s="476">
        <f t="shared" si="31"/>
        <v>0</v>
      </c>
      <c r="O55" s="476">
        <f t="shared" si="32"/>
        <v>0</v>
      </c>
      <c r="P55" s="241"/>
    </row>
    <row r="56" spans="2:16">
      <c r="B56" s="160" t="str">
        <f t="shared" si="6"/>
        <v/>
      </c>
      <c r="C56" s="470">
        <f>IF(D11="","-",+C55+1)</f>
        <v>2049</v>
      </c>
      <c r="D56" s="483">
        <f>IF(F55+SUM(E$17:E55)=D$10,F55,D$10-SUM(E$17:E55))</f>
        <v>4668.6184086797002</v>
      </c>
      <c r="E56" s="482">
        <f>IF(+I14&lt;F55,I14,D56)</f>
        <v>2541.2105263157896</v>
      </c>
      <c r="F56" s="483">
        <f t="shared" si="28"/>
        <v>2127.4078823639106</v>
      </c>
      <c r="G56" s="484">
        <f t="shared" si="26"/>
        <v>2783.2105263157896</v>
      </c>
      <c r="H56" s="453">
        <f t="shared" si="27"/>
        <v>2783.2105263157896</v>
      </c>
      <c r="I56" s="473">
        <f t="shared" si="29"/>
        <v>0</v>
      </c>
      <c r="J56" s="473"/>
      <c r="K56" s="485"/>
      <c r="L56" s="476">
        <f t="shared" si="30"/>
        <v>0</v>
      </c>
      <c r="M56" s="485"/>
      <c r="N56" s="476">
        <f t="shared" si="31"/>
        <v>0</v>
      </c>
      <c r="O56" s="476">
        <f t="shared" si="32"/>
        <v>0</v>
      </c>
      <c r="P56" s="241"/>
    </row>
    <row r="57" spans="2:16">
      <c r="B57" s="160" t="str">
        <f t="shared" si="6"/>
        <v/>
      </c>
      <c r="C57" s="470">
        <f>IF(D11="","-",+C56+1)</f>
        <v>2050</v>
      </c>
      <c r="D57" s="483">
        <f>IF(F56+SUM(E$17:E56)=D$10,F56,D$10-SUM(E$17:E56))</f>
        <v>2127.4078823639106</v>
      </c>
      <c r="E57" s="482">
        <f>IF(+I14&lt;F56,I14,D57)</f>
        <v>2127.4078823639106</v>
      </c>
      <c r="F57" s="483">
        <f t="shared" si="28"/>
        <v>0</v>
      </c>
      <c r="G57" s="484">
        <f t="shared" si="26"/>
        <v>2127.4078823639106</v>
      </c>
      <c r="H57" s="453">
        <f t="shared" si="27"/>
        <v>2127.4078823639106</v>
      </c>
      <c r="I57" s="473">
        <f t="shared" si="29"/>
        <v>0</v>
      </c>
      <c r="J57" s="473"/>
      <c r="K57" s="485"/>
      <c r="L57" s="476">
        <f t="shared" si="30"/>
        <v>0</v>
      </c>
      <c r="M57" s="485"/>
      <c r="N57" s="476">
        <f t="shared" si="31"/>
        <v>0</v>
      </c>
      <c r="O57" s="476">
        <f t="shared" si="32"/>
        <v>0</v>
      </c>
      <c r="P57" s="241"/>
    </row>
    <row r="58" spans="2:16">
      <c r="B58" s="160" t="str">
        <f t="shared" si="6"/>
        <v/>
      </c>
      <c r="C58" s="470">
        <f>IF(D11="","-",+C57+1)</f>
        <v>2051</v>
      </c>
      <c r="D58" s="483">
        <f>IF(F57+SUM(E$17:E57)=D$10,F57,D$10-SUM(E$17:E57))</f>
        <v>0</v>
      </c>
      <c r="E58" s="482">
        <f>IF(+I14&lt;F57,I14,D58)</f>
        <v>0</v>
      </c>
      <c r="F58" s="483">
        <f t="shared" si="28"/>
        <v>0</v>
      </c>
      <c r="G58" s="484">
        <f t="shared" si="26"/>
        <v>0</v>
      </c>
      <c r="H58" s="453">
        <f t="shared" si="27"/>
        <v>0</v>
      </c>
      <c r="I58" s="473">
        <f t="shared" si="29"/>
        <v>0</v>
      </c>
      <c r="J58" s="473"/>
      <c r="K58" s="485"/>
      <c r="L58" s="476">
        <f t="shared" si="30"/>
        <v>0</v>
      </c>
      <c r="M58" s="485"/>
      <c r="N58" s="476">
        <f t="shared" si="31"/>
        <v>0</v>
      </c>
      <c r="O58" s="476">
        <f t="shared" si="32"/>
        <v>0</v>
      </c>
      <c r="P58" s="241"/>
    </row>
    <row r="59" spans="2:16">
      <c r="B59" s="160" t="str">
        <f t="shared" si="6"/>
        <v/>
      </c>
      <c r="C59" s="470">
        <f>IF(D11="","-",+C58+1)</f>
        <v>2052</v>
      </c>
      <c r="D59" s="483">
        <f>IF(F58+SUM(E$17:E58)=D$10,F58,D$10-SUM(E$17:E58))</f>
        <v>0</v>
      </c>
      <c r="E59" s="482">
        <f>IF(+I14&lt;F58,I14,D59)</f>
        <v>0</v>
      </c>
      <c r="F59" s="483">
        <f t="shared" si="28"/>
        <v>0</v>
      </c>
      <c r="G59" s="484">
        <f t="shared" si="26"/>
        <v>0</v>
      </c>
      <c r="H59" s="453">
        <f t="shared" si="27"/>
        <v>0</v>
      </c>
      <c r="I59" s="473">
        <f t="shared" si="29"/>
        <v>0</v>
      </c>
      <c r="J59" s="473"/>
      <c r="K59" s="485"/>
      <c r="L59" s="476">
        <f t="shared" si="30"/>
        <v>0</v>
      </c>
      <c r="M59" s="485"/>
      <c r="N59" s="476">
        <f t="shared" si="31"/>
        <v>0</v>
      </c>
      <c r="O59" s="476">
        <f t="shared" si="32"/>
        <v>0</v>
      </c>
      <c r="P59" s="241"/>
    </row>
    <row r="60" spans="2:16">
      <c r="B60" s="160" t="str">
        <f t="shared" si="6"/>
        <v/>
      </c>
      <c r="C60" s="470">
        <f>IF(D11="","-",+C59+1)</f>
        <v>2053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8"/>
        <v>0</v>
      </c>
      <c r="G60" s="484">
        <f t="shared" si="26"/>
        <v>0</v>
      </c>
      <c r="H60" s="453">
        <f t="shared" si="27"/>
        <v>0</v>
      </c>
      <c r="I60" s="473">
        <f t="shared" si="29"/>
        <v>0</v>
      </c>
      <c r="J60" s="473"/>
      <c r="K60" s="485"/>
      <c r="L60" s="476">
        <f t="shared" si="30"/>
        <v>0</v>
      </c>
      <c r="M60" s="485"/>
      <c r="N60" s="476">
        <f t="shared" si="31"/>
        <v>0</v>
      </c>
      <c r="O60" s="476">
        <f t="shared" si="32"/>
        <v>0</v>
      </c>
      <c r="P60" s="241"/>
    </row>
    <row r="61" spans="2:16">
      <c r="B61" s="160" t="str">
        <f t="shared" si="6"/>
        <v/>
      </c>
      <c r="C61" s="470">
        <f>IF(D11="","-",+C60+1)</f>
        <v>2054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8"/>
        <v>0</v>
      </c>
      <c r="G61" s="486">
        <f t="shared" si="26"/>
        <v>0</v>
      </c>
      <c r="H61" s="453">
        <f t="shared" si="27"/>
        <v>0</v>
      </c>
      <c r="I61" s="473">
        <f t="shared" si="29"/>
        <v>0</v>
      </c>
      <c r="J61" s="473"/>
      <c r="K61" s="485"/>
      <c r="L61" s="476">
        <f t="shared" si="30"/>
        <v>0</v>
      </c>
      <c r="M61" s="485"/>
      <c r="N61" s="476">
        <f t="shared" si="31"/>
        <v>0</v>
      </c>
      <c r="O61" s="476">
        <f t="shared" si="32"/>
        <v>0</v>
      </c>
      <c r="P61" s="241"/>
    </row>
    <row r="62" spans="2:16">
      <c r="B62" s="160" t="str">
        <f t="shared" si="6"/>
        <v/>
      </c>
      <c r="C62" s="470">
        <f>IF(D11="","-",+C61+1)</f>
        <v>2055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8"/>
        <v>0</v>
      </c>
      <c r="G62" s="486">
        <f t="shared" si="26"/>
        <v>0</v>
      </c>
      <c r="H62" s="453">
        <f t="shared" si="27"/>
        <v>0</v>
      </c>
      <c r="I62" s="473">
        <f t="shared" si="29"/>
        <v>0</v>
      </c>
      <c r="J62" s="473"/>
      <c r="K62" s="485"/>
      <c r="L62" s="476">
        <f t="shared" si="30"/>
        <v>0</v>
      </c>
      <c r="M62" s="485"/>
      <c r="N62" s="476">
        <f t="shared" si="31"/>
        <v>0</v>
      </c>
      <c r="O62" s="476">
        <f t="shared" si="32"/>
        <v>0</v>
      </c>
      <c r="P62" s="241"/>
    </row>
    <row r="63" spans="2:16">
      <c r="B63" s="160" t="str">
        <f t="shared" si="6"/>
        <v/>
      </c>
      <c r="C63" s="470">
        <f>IF(D11="","-",+C62+1)</f>
        <v>2056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8"/>
        <v>0</v>
      </c>
      <c r="G63" s="486">
        <f t="shared" si="26"/>
        <v>0</v>
      </c>
      <c r="H63" s="453">
        <f t="shared" si="27"/>
        <v>0</v>
      </c>
      <c r="I63" s="473">
        <f t="shared" si="29"/>
        <v>0</v>
      </c>
      <c r="J63" s="473"/>
      <c r="K63" s="485"/>
      <c r="L63" s="476">
        <f t="shared" si="30"/>
        <v>0</v>
      </c>
      <c r="M63" s="485"/>
      <c r="N63" s="476">
        <f t="shared" si="31"/>
        <v>0</v>
      </c>
      <c r="O63" s="476">
        <f t="shared" si="32"/>
        <v>0</v>
      </c>
      <c r="P63" s="241"/>
    </row>
    <row r="64" spans="2:16">
      <c r="B64" s="160" t="str">
        <f t="shared" si="6"/>
        <v/>
      </c>
      <c r="C64" s="470">
        <f>IF(D11="","-",+C63+1)</f>
        <v>2057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8"/>
        <v>0</v>
      </c>
      <c r="G64" s="486">
        <f t="shared" si="26"/>
        <v>0</v>
      </c>
      <c r="H64" s="453">
        <f t="shared" si="27"/>
        <v>0</v>
      </c>
      <c r="I64" s="473">
        <f t="shared" si="29"/>
        <v>0</v>
      </c>
      <c r="J64" s="473"/>
      <c r="K64" s="485"/>
      <c r="L64" s="476">
        <f t="shared" si="30"/>
        <v>0</v>
      </c>
      <c r="M64" s="485"/>
      <c r="N64" s="476">
        <f t="shared" si="31"/>
        <v>0</v>
      </c>
      <c r="O64" s="476">
        <f t="shared" si="32"/>
        <v>0</v>
      </c>
      <c r="P64" s="241"/>
    </row>
    <row r="65" spans="2:16">
      <c r="B65" s="563" t="str">
        <f t="shared" si="6"/>
        <v/>
      </c>
      <c r="C65" s="470">
        <f>IF(D11="","-",+C64+1)</f>
        <v>2058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8"/>
        <v>0</v>
      </c>
      <c r="G65" s="486">
        <f t="shared" si="26"/>
        <v>0</v>
      </c>
      <c r="H65" s="453">
        <f t="shared" si="27"/>
        <v>0</v>
      </c>
      <c r="I65" s="473">
        <f t="shared" si="29"/>
        <v>0</v>
      </c>
      <c r="J65" s="473"/>
      <c r="K65" s="485"/>
      <c r="L65" s="476">
        <f t="shared" si="30"/>
        <v>0</v>
      </c>
      <c r="M65" s="485"/>
      <c r="N65" s="476">
        <f t="shared" si="31"/>
        <v>0</v>
      </c>
      <c r="O65" s="476">
        <f t="shared" si="32"/>
        <v>0</v>
      </c>
      <c r="P65" s="241"/>
    </row>
    <row r="66" spans="2:16">
      <c r="B66" s="160" t="str">
        <f t="shared" si="6"/>
        <v/>
      </c>
      <c r="C66" s="470">
        <f>IF(D11="","-",+C65+1)</f>
        <v>2059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8"/>
        <v>0</v>
      </c>
      <c r="G66" s="486">
        <f t="shared" si="26"/>
        <v>0</v>
      </c>
      <c r="H66" s="453">
        <f t="shared" si="27"/>
        <v>0</v>
      </c>
      <c r="I66" s="473">
        <f t="shared" si="29"/>
        <v>0</v>
      </c>
      <c r="J66" s="473"/>
      <c r="K66" s="485"/>
      <c r="L66" s="476">
        <f t="shared" si="30"/>
        <v>0</v>
      </c>
      <c r="M66" s="485"/>
      <c r="N66" s="476">
        <f t="shared" si="31"/>
        <v>0</v>
      </c>
      <c r="O66" s="476">
        <f t="shared" si="32"/>
        <v>0</v>
      </c>
      <c r="P66" s="241"/>
    </row>
    <row r="67" spans="2:16">
      <c r="B67" s="160" t="str">
        <f t="shared" si="6"/>
        <v/>
      </c>
      <c r="C67" s="470">
        <f>IF(D11="","-",+C66+1)</f>
        <v>2060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8"/>
        <v>0</v>
      </c>
      <c r="G67" s="486">
        <f t="shared" si="26"/>
        <v>0</v>
      </c>
      <c r="H67" s="453">
        <f t="shared" si="27"/>
        <v>0</v>
      </c>
      <c r="I67" s="473">
        <f t="shared" si="29"/>
        <v>0</v>
      </c>
      <c r="J67" s="473"/>
      <c r="K67" s="485"/>
      <c r="L67" s="476">
        <f t="shared" si="30"/>
        <v>0</v>
      </c>
      <c r="M67" s="485"/>
      <c r="N67" s="476">
        <f t="shared" si="31"/>
        <v>0</v>
      </c>
      <c r="O67" s="476">
        <f t="shared" si="32"/>
        <v>0</v>
      </c>
      <c r="P67" s="241"/>
    </row>
    <row r="68" spans="2:16">
      <c r="B68" s="160" t="str">
        <f t="shared" si="6"/>
        <v/>
      </c>
      <c r="C68" s="470">
        <f>IF(D11="","-",+C67+1)</f>
        <v>2061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8"/>
        <v>0</v>
      </c>
      <c r="G68" s="486">
        <f t="shared" si="26"/>
        <v>0</v>
      </c>
      <c r="H68" s="453">
        <f t="shared" si="27"/>
        <v>0</v>
      </c>
      <c r="I68" s="473">
        <f t="shared" si="29"/>
        <v>0</v>
      </c>
      <c r="J68" s="473"/>
      <c r="K68" s="485"/>
      <c r="L68" s="476">
        <f t="shared" si="30"/>
        <v>0</v>
      </c>
      <c r="M68" s="485"/>
      <c r="N68" s="476">
        <f t="shared" si="31"/>
        <v>0</v>
      </c>
      <c r="O68" s="476">
        <f t="shared" si="32"/>
        <v>0</v>
      </c>
      <c r="P68" s="241"/>
    </row>
    <row r="69" spans="2:16">
      <c r="B69" s="160" t="str">
        <f t="shared" si="6"/>
        <v/>
      </c>
      <c r="C69" s="470">
        <f>IF(D11="","-",+C68+1)</f>
        <v>2062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8"/>
        <v>0</v>
      </c>
      <c r="G69" s="486">
        <f t="shared" si="26"/>
        <v>0</v>
      </c>
      <c r="H69" s="453">
        <f t="shared" si="27"/>
        <v>0</v>
      </c>
      <c r="I69" s="473">
        <f t="shared" si="29"/>
        <v>0</v>
      </c>
      <c r="J69" s="473"/>
      <c r="K69" s="485"/>
      <c r="L69" s="476">
        <f t="shared" si="30"/>
        <v>0</v>
      </c>
      <c r="M69" s="485"/>
      <c r="N69" s="476">
        <f t="shared" si="31"/>
        <v>0</v>
      </c>
      <c r="O69" s="476">
        <f t="shared" si="32"/>
        <v>0</v>
      </c>
      <c r="P69" s="241"/>
    </row>
    <row r="70" spans="2:16">
      <c r="B70" s="160" t="str">
        <f t="shared" si="6"/>
        <v/>
      </c>
      <c r="C70" s="470">
        <f>IF(D11="","-",+C69+1)</f>
        <v>2063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8"/>
        <v>0</v>
      </c>
      <c r="G70" s="486">
        <f t="shared" si="26"/>
        <v>0</v>
      </c>
      <c r="H70" s="453">
        <f t="shared" si="27"/>
        <v>0</v>
      </c>
      <c r="I70" s="473">
        <f t="shared" si="29"/>
        <v>0</v>
      </c>
      <c r="J70" s="473"/>
      <c r="K70" s="485"/>
      <c r="L70" s="476">
        <f t="shared" si="30"/>
        <v>0</v>
      </c>
      <c r="M70" s="485"/>
      <c r="N70" s="476">
        <f t="shared" si="31"/>
        <v>0</v>
      </c>
      <c r="O70" s="476">
        <f t="shared" si="32"/>
        <v>0</v>
      </c>
      <c r="P70" s="241"/>
    </row>
    <row r="71" spans="2:16">
      <c r="B71" s="160" t="str">
        <f t="shared" si="6"/>
        <v/>
      </c>
      <c r="C71" s="470">
        <f>IF(D11="","-",+C70+1)</f>
        <v>2064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8"/>
        <v>0</v>
      </c>
      <c r="G71" s="486">
        <f t="shared" si="26"/>
        <v>0</v>
      </c>
      <c r="H71" s="453">
        <f t="shared" si="27"/>
        <v>0</v>
      </c>
      <c r="I71" s="473">
        <f t="shared" si="29"/>
        <v>0</v>
      </c>
      <c r="J71" s="473"/>
      <c r="K71" s="485"/>
      <c r="L71" s="476">
        <f t="shared" si="30"/>
        <v>0</v>
      </c>
      <c r="M71" s="485"/>
      <c r="N71" s="476">
        <f t="shared" si="31"/>
        <v>0</v>
      </c>
      <c r="O71" s="476">
        <f t="shared" si="32"/>
        <v>0</v>
      </c>
      <c r="P71" s="241"/>
    </row>
    <row r="72" spans="2:16" ht="13.5" thickBot="1">
      <c r="B72" s="160" t="str">
        <f t="shared" si="6"/>
        <v/>
      </c>
      <c r="C72" s="487">
        <f>IF(D11="","-",+C71+1)</f>
        <v>2065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8"/>
        <v>0</v>
      </c>
      <c r="G72" s="490">
        <f t="shared" si="26"/>
        <v>0</v>
      </c>
      <c r="H72" s="433">
        <f t="shared" si="27"/>
        <v>0</v>
      </c>
      <c r="I72" s="491">
        <f t="shared" si="29"/>
        <v>0</v>
      </c>
      <c r="J72" s="473"/>
      <c r="K72" s="492"/>
      <c r="L72" s="493">
        <f t="shared" si="30"/>
        <v>0</v>
      </c>
      <c r="M72" s="492"/>
      <c r="N72" s="493">
        <f t="shared" si="31"/>
        <v>0</v>
      </c>
      <c r="O72" s="493">
        <f t="shared" si="32"/>
        <v>0</v>
      </c>
      <c r="P72" s="241"/>
    </row>
    <row r="73" spans="2:16">
      <c r="C73" s="345" t="s">
        <v>77</v>
      </c>
      <c r="D73" s="346"/>
      <c r="E73" s="346">
        <f>SUM(E17:E72)</f>
        <v>96565.999999999956</v>
      </c>
      <c r="F73" s="346"/>
      <c r="G73" s="346">
        <f>SUM(G17:G72)</f>
        <v>352201.73711587128</v>
      </c>
      <c r="H73" s="346">
        <f>SUM(H17:H72)</f>
        <v>352201.73711587128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10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9919.1904761904771</v>
      </c>
      <c r="N87" s="506">
        <f>IF(J92&lt;D11,0,VLOOKUP(J92,C17:O72,11))</f>
        <v>9919.1904761904771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10375.710571899024</v>
      </c>
      <c r="N88" s="510">
        <f>IF(J92&lt;D11,0,VLOOKUP(J92,C99:P154,7))</f>
        <v>10375.710571899024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Wavetrap Clinton City-Foss Tap 69kV Ckt 1*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456.52009570854716</v>
      </c>
      <c r="N89" s="515">
        <f>+N88-N87</f>
        <v>456.52009570854716</v>
      </c>
      <c r="O89" s="516">
        <f>+O88-O87</f>
        <v>0</v>
      </c>
      <c r="P89" s="231"/>
    </row>
    <row r="90" spans="1:16" ht="13.5" thickBot="1">
      <c r="C90" s="494"/>
      <c r="D90" s="517" t="str">
        <f>D8</f>
        <v>DOES NOT MEET SPP $100,000 MINIMUM INVESTMENT FOR REGIONAL BPU SHARING.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TP2009011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445">
        <v>96566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f>IF(D11=I10,"",D11)</f>
        <v>2010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f>IF(D11=I10,"",D12)</f>
        <v>6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2355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2010</v>
      </c>
      <c r="D99" s="471">
        <v>0</v>
      </c>
      <c r="E99" s="478">
        <v>946.5</v>
      </c>
      <c r="F99" s="477">
        <v>95619.5</v>
      </c>
      <c r="G99" s="535">
        <v>47809.75</v>
      </c>
      <c r="H99" s="536">
        <v>8635.0355480484341</v>
      </c>
      <c r="I99" s="537">
        <v>8635.0355480484341</v>
      </c>
      <c r="J99" s="476">
        <f t="shared" ref="J99:J130" si="33">+I99-H99</f>
        <v>0</v>
      </c>
      <c r="K99" s="476"/>
      <c r="L99" s="565">
        <f t="shared" ref="L99:L104" si="34">H99</f>
        <v>8635.0355480484341</v>
      </c>
      <c r="M99" s="566">
        <f t="shared" ref="M99:M130" si="35">IF(L99&lt;&gt;0,+H99-L99,0)</f>
        <v>0</v>
      </c>
      <c r="N99" s="565">
        <f t="shared" ref="N99:N104" si="36">I99</f>
        <v>8635.0355480484341</v>
      </c>
      <c r="O99" s="475">
        <f t="shared" ref="O99:O130" si="37">IF(N99&lt;&gt;0,+I99-N99,0)</f>
        <v>0</v>
      </c>
      <c r="P99" s="475">
        <f t="shared" ref="P99:P130" si="38">+O99-M99</f>
        <v>0</v>
      </c>
    </row>
    <row r="100" spans="1:16">
      <c r="B100" s="160" t="str">
        <f>IF(D100=F99,"","IU")</f>
        <v/>
      </c>
      <c r="C100" s="470">
        <f>IF(D93="","-",+C99+1)</f>
        <v>2011</v>
      </c>
      <c r="D100" s="471">
        <v>95619.5</v>
      </c>
      <c r="E100" s="478">
        <v>1857</v>
      </c>
      <c r="F100" s="477">
        <v>93762.5</v>
      </c>
      <c r="G100" s="477">
        <v>94691</v>
      </c>
      <c r="H100" s="478">
        <v>15096.07425133265</v>
      </c>
      <c r="I100" s="479">
        <v>15096.07425133265</v>
      </c>
      <c r="J100" s="476">
        <f t="shared" si="33"/>
        <v>0</v>
      </c>
      <c r="K100" s="476"/>
      <c r="L100" s="538">
        <f t="shared" si="34"/>
        <v>15096.07425133265</v>
      </c>
      <c r="M100" s="539">
        <f t="shared" si="35"/>
        <v>0</v>
      </c>
      <c r="N100" s="538">
        <f t="shared" si="36"/>
        <v>15096.07425133265</v>
      </c>
      <c r="O100" s="476">
        <f t="shared" si="37"/>
        <v>0</v>
      </c>
      <c r="P100" s="476">
        <f t="shared" si="38"/>
        <v>0</v>
      </c>
    </row>
    <row r="101" spans="1:16">
      <c r="B101" s="160" t="str">
        <f t="shared" ref="B101:B154" si="39">IF(D101=F100,"","IU")</f>
        <v/>
      </c>
      <c r="C101" s="470">
        <f>IF(D93="","-",+C100+1)</f>
        <v>2012</v>
      </c>
      <c r="D101" s="471">
        <v>93762.5</v>
      </c>
      <c r="E101" s="478">
        <v>1857</v>
      </c>
      <c r="F101" s="477">
        <v>91905.5</v>
      </c>
      <c r="G101" s="477">
        <v>92834</v>
      </c>
      <c r="H101" s="478">
        <v>15211.679797187964</v>
      </c>
      <c r="I101" s="479">
        <v>15211.679797187964</v>
      </c>
      <c r="J101" s="476">
        <v>0</v>
      </c>
      <c r="K101" s="476"/>
      <c r="L101" s="538">
        <f t="shared" si="34"/>
        <v>15211.679797187964</v>
      </c>
      <c r="M101" s="539">
        <f t="shared" ref="M101:M106" si="40">IF(L101&lt;&gt;0,+H101-L101,0)</f>
        <v>0</v>
      </c>
      <c r="N101" s="538">
        <f t="shared" si="36"/>
        <v>15211.679797187964</v>
      </c>
      <c r="O101" s="476">
        <f t="shared" ref="O101:O106" si="41">IF(N101&lt;&gt;0,+I101-N101,0)</f>
        <v>0</v>
      </c>
      <c r="P101" s="476">
        <f t="shared" ref="P101:P106" si="42">+O101-M101</f>
        <v>0</v>
      </c>
    </row>
    <row r="102" spans="1:16">
      <c r="B102" s="160" t="str">
        <f t="shared" si="39"/>
        <v/>
      </c>
      <c r="C102" s="470">
        <f>IF(D93="","-",+C101+1)</f>
        <v>2013</v>
      </c>
      <c r="D102" s="471">
        <v>91905.5</v>
      </c>
      <c r="E102" s="478">
        <v>1857</v>
      </c>
      <c r="F102" s="477">
        <v>90048.5</v>
      </c>
      <c r="G102" s="477">
        <v>90977</v>
      </c>
      <c r="H102" s="478">
        <v>14952.192437840908</v>
      </c>
      <c r="I102" s="479">
        <v>14952.192437840908</v>
      </c>
      <c r="J102" s="476">
        <v>0</v>
      </c>
      <c r="K102" s="476"/>
      <c r="L102" s="538">
        <f t="shared" si="34"/>
        <v>14952.192437840908</v>
      </c>
      <c r="M102" s="539">
        <f t="shared" si="40"/>
        <v>0</v>
      </c>
      <c r="N102" s="538">
        <f t="shared" si="36"/>
        <v>14952.192437840908</v>
      </c>
      <c r="O102" s="476">
        <f t="shared" si="41"/>
        <v>0</v>
      </c>
      <c r="P102" s="476">
        <f t="shared" si="42"/>
        <v>0</v>
      </c>
    </row>
    <row r="103" spans="1:16">
      <c r="B103" s="160" t="str">
        <f t="shared" si="39"/>
        <v/>
      </c>
      <c r="C103" s="470">
        <f>IF(D93="","-",+C102+1)</f>
        <v>2014</v>
      </c>
      <c r="D103" s="471">
        <v>90048.5</v>
      </c>
      <c r="E103" s="478">
        <v>1857</v>
      </c>
      <c r="F103" s="477">
        <v>88191.5</v>
      </c>
      <c r="G103" s="477">
        <v>89120</v>
      </c>
      <c r="H103" s="478">
        <v>14386.907699066522</v>
      </c>
      <c r="I103" s="479">
        <v>14386.907699066522</v>
      </c>
      <c r="J103" s="476">
        <v>0</v>
      </c>
      <c r="K103" s="476"/>
      <c r="L103" s="538">
        <f t="shared" si="34"/>
        <v>14386.907699066522</v>
      </c>
      <c r="M103" s="539">
        <f t="shared" si="40"/>
        <v>0</v>
      </c>
      <c r="N103" s="538">
        <f t="shared" si="36"/>
        <v>14386.907699066522</v>
      </c>
      <c r="O103" s="476">
        <f t="shared" si="41"/>
        <v>0</v>
      </c>
      <c r="P103" s="476">
        <f t="shared" si="42"/>
        <v>0</v>
      </c>
    </row>
    <row r="104" spans="1:16">
      <c r="B104" s="160" t="str">
        <f t="shared" si="39"/>
        <v/>
      </c>
      <c r="C104" s="470">
        <f>IF(D93="","-",+C103+1)</f>
        <v>2015</v>
      </c>
      <c r="D104" s="471">
        <v>88191.5</v>
      </c>
      <c r="E104" s="478">
        <v>1857</v>
      </c>
      <c r="F104" s="477">
        <v>86334.5</v>
      </c>
      <c r="G104" s="477">
        <v>87263</v>
      </c>
      <c r="H104" s="478">
        <v>13763.334720904193</v>
      </c>
      <c r="I104" s="479">
        <v>13763.334720904193</v>
      </c>
      <c r="J104" s="476">
        <f t="shared" si="33"/>
        <v>0</v>
      </c>
      <c r="K104" s="476"/>
      <c r="L104" s="538">
        <f t="shared" si="34"/>
        <v>13763.334720904193</v>
      </c>
      <c r="M104" s="539">
        <f t="shared" si="40"/>
        <v>0</v>
      </c>
      <c r="N104" s="538">
        <f t="shared" si="36"/>
        <v>13763.334720904193</v>
      </c>
      <c r="O104" s="476">
        <f t="shared" si="41"/>
        <v>0</v>
      </c>
      <c r="P104" s="476">
        <f t="shared" si="42"/>
        <v>0</v>
      </c>
    </row>
    <row r="105" spans="1:16">
      <c r="B105" s="160" t="str">
        <f t="shared" si="39"/>
        <v/>
      </c>
      <c r="C105" s="470">
        <f>IF(D93="","-",+C104+1)</f>
        <v>2016</v>
      </c>
      <c r="D105" s="471">
        <v>86334.5</v>
      </c>
      <c r="E105" s="478">
        <v>2099</v>
      </c>
      <c r="F105" s="477">
        <v>84235.5</v>
      </c>
      <c r="G105" s="477">
        <v>85285</v>
      </c>
      <c r="H105" s="478">
        <v>13093.579642748955</v>
      </c>
      <c r="I105" s="479">
        <v>13093.579642748955</v>
      </c>
      <c r="J105" s="476">
        <f t="shared" si="33"/>
        <v>0</v>
      </c>
      <c r="K105" s="476"/>
      <c r="L105" s="538">
        <f t="shared" ref="L105:L110" si="43">H105</f>
        <v>13093.579642748955</v>
      </c>
      <c r="M105" s="539">
        <f t="shared" si="40"/>
        <v>0</v>
      </c>
      <c r="N105" s="538">
        <f t="shared" ref="N105:N110" si="44">I105</f>
        <v>13093.579642748955</v>
      </c>
      <c r="O105" s="476">
        <f t="shared" si="41"/>
        <v>0</v>
      </c>
      <c r="P105" s="476">
        <f t="shared" si="42"/>
        <v>0</v>
      </c>
    </row>
    <row r="106" spans="1:16">
      <c r="B106" s="160" t="str">
        <f t="shared" si="39"/>
        <v/>
      </c>
      <c r="C106" s="470">
        <f>IF(D93="","-",+C105+1)</f>
        <v>2017</v>
      </c>
      <c r="D106" s="471">
        <v>84235.5</v>
      </c>
      <c r="E106" s="478">
        <v>2099</v>
      </c>
      <c r="F106" s="477">
        <v>82136.5</v>
      </c>
      <c r="G106" s="477">
        <v>83186</v>
      </c>
      <c r="H106" s="478">
        <v>12651.353853573521</v>
      </c>
      <c r="I106" s="479">
        <v>12651.353853573521</v>
      </c>
      <c r="J106" s="476">
        <f t="shared" si="33"/>
        <v>0</v>
      </c>
      <c r="K106" s="476"/>
      <c r="L106" s="538">
        <f t="shared" si="43"/>
        <v>12651.353853573521</v>
      </c>
      <c r="M106" s="539">
        <f t="shared" si="40"/>
        <v>0</v>
      </c>
      <c r="N106" s="538">
        <f t="shared" si="44"/>
        <v>12651.353853573521</v>
      </c>
      <c r="O106" s="476">
        <f t="shared" si="41"/>
        <v>0</v>
      </c>
      <c r="P106" s="476">
        <f t="shared" si="42"/>
        <v>0</v>
      </c>
    </row>
    <row r="107" spans="1:16">
      <c r="B107" s="160" t="str">
        <f t="shared" si="39"/>
        <v/>
      </c>
      <c r="C107" s="470">
        <f>IF(D93="","-",+C106+1)</f>
        <v>2018</v>
      </c>
      <c r="D107" s="471">
        <v>82136.5</v>
      </c>
      <c r="E107" s="478">
        <v>2246</v>
      </c>
      <c r="F107" s="477">
        <v>79890.5</v>
      </c>
      <c r="G107" s="477">
        <v>81013.5</v>
      </c>
      <c r="H107" s="478">
        <v>10568.967843132519</v>
      </c>
      <c r="I107" s="479">
        <v>10568.967843132519</v>
      </c>
      <c r="J107" s="476">
        <f t="shared" si="33"/>
        <v>0</v>
      </c>
      <c r="K107" s="476"/>
      <c r="L107" s="538">
        <f t="shared" si="43"/>
        <v>10568.967843132519</v>
      </c>
      <c r="M107" s="539">
        <f t="shared" ref="M107" si="45">IF(L107&lt;&gt;0,+H107-L107,0)</f>
        <v>0</v>
      </c>
      <c r="N107" s="538">
        <f t="shared" si="44"/>
        <v>10568.967843132519</v>
      </c>
      <c r="O107" s="476">
        <f t="shared" ref="O107" si="46">IF(N107&lt;&gt;0,+I107-N107,0)</f>
        <v>0</v>
      </c>
      <c r="P107" s="476">
        <f t="shared" ref="P107" si="47">+O107-M107</f>
        <v>0</v>
      </c>
    </row>
    <row r="108" spans="1:16">
      <c r="B108" s="160" t="str">
        <f t="shared" si="39"/>
        <v/>
      </c>
      <c r="C108" s="470">
        <f>IF(D93="","-",+C107+1)</f>
        <v>2019</v>
      </c>
      <c r="D108" s="471">
        <v>79890.5</v>
      </c>
      <c r="E108" s="478">
        <v>2355</v>
      </c>
      <c r="F108" s="477">
        <v>77535.5</v>
      </c>
      <c r="G108" s="477">
        <v>78713</v>
      </c>
      <c r="H108" s="478">
        <v>10471.414334884656</v>
      </c>
      <c r="I108" s="479">
        <v>10471.414334884656</v>
      </c>
      <c r="J108" s="476">
        <f t="shared" si="33"/>
        <v>0</v>
      </c>
      <c r="K108" s="476"/>
      <c r="L108" s="538">
        <f t="shared" si="43"/>
        <v>10471.414334884656</v>
      </c>
      <c r="M108" s="539">
        <f t="shared" ref="M108:M109" si="48">IF(L108&lt;&gt;0,+H108-L108,0)</f>
        <v>0</v>
      </c>
      <c r="N108" s="538">
        <f t="shared" si="44"/>
        <v>10471.414334884656</v>
      </c>
      <c r="O108" s="476">
        <f t="shared" si="37"/>
        <v>0</v>
      </c>
      <c r="P108" s="476">
        <f t="shared" si="38"/>
        <v>0</v>
      </c>
    </row>
    <row r="109" spans="1:16">
      <c r="B109" s="160" t="str">
        <f t="shared" si="39"/>
        <v/>
      </c>
      <c r="C109" s="470">
        <f>IF(D93="","-",+C108+1)</f>
        <v>2020</v>
      </c>
      <c r="D109" s="471">
        <v>77535.5</v>
      </c>
      <c r="E109" s="478">
        <v>2246</v>
      </c>
      <c r="F109" s="477">
        <v>75289.5</v>
      </c>
      <c r="G109" s="477">
        <v>76412.5</v>
      </c>
      <c r="H109" s="478">
        <v>11056.151171153304</v>
      </c>
      <c r="I109" s="479">
        <v>11056.151171153304</v>
      </c>
      <c r="J109" s="476">
        <f t="shared" si="33"/>
        <v>0</v>
      </c>
      <c r="K109" s="476"/>
      <c r="L109" s="538">
        <f t="shared" si="43"/>
        <v>11056.151171153304</v>
      </c>
      <c r="M109" s="539">
        <f t="shared" si="48"/>
        <v>0</v>
      </c>
      <c r="N109" s="538">
        <f t="shared" si="44"/>
        <v>11056.151171153304</v>
      </c>
      <c r="O109" s="476">
        <f t="shared" si="37"/>
        <v>0</v>
      </c>
      <c r="P109" s="476">
        <f t="shared" si="38"/>
        <v>0</v>
      </c>
    </row>
    <row r="110" spans="1:16">
      <c r="B110" s="160" t="str">
        <f t="shared" si="39"/>
        <v/>
      </c>
      <c r="C110" s="470">
        <f>IF(D93="","-",+C109+1)</f>
        <v>2021</v>
      </c>
      <c r="D110" s="471">
        <v>75289.5</v>
      </c>
      <c r="E110" s="478">
        <v>2355</v>
      </c>
      <c r="F110" s="477">
        <v>72934.5</v>
      </c>
      <c r="G110" s="477">
        <v>74112</v>
      </c>
      <c r="H110" s="478">
        <v>10788.411477147845</v>
      </c>
      <c r="I110" s="479">
        <v>10788.411477147845</v>
      </c>
      <c r="J110" s="476">
        <f t="shared" si="33"/>
        <v>0</v>
      </c>
      <c r="K110" s="476"/>
      <c r="L110" s="538">
        <f t="shared" si="43"/>
        <v>10788.411477147845</v>
      </c>
      <c r="M110" s="539">
        <f t="shared" ref="M110" si="49">IF(L110&lt;&gt;0,+H110-L110,0)</f>
        <v>0</v>
      </c>
      <c r="N110" s="538">
        <f t="shared" si="44"/>
        <v>10788.411477147845</v>
      </c>
      <c r="O110" s="476">
        <f t="shared" ref="O110" si="50">IF(N110&lt;&gt;0,+I110-N110,0)</f>
        <v>0</v>
      </c>
      <c r="P110" s="476">
        <f t="shared" si="38"/>
        <v>0</v>
      </c>
    </row>
    <row r="111" spans="1:16">
      <c r="B111" s="160" t="str">
        <f t="shared" si="39"/>
        <v/>
      </c>
      <c r="C111" s="631">
        <f>IF(D93="","-",+C110+1)</f>
        <v>2022</v>
      </c>
      <c r="D111" s="345">
        <v>72934.5</v>
      </c>
      <c r="E111" s="484">
        <v>2476</v>
      </c>
      <c r="F111" s="483">
        <v>70458.5</v>
      </c>
      <c r="G111" s="483">
        <v>71696.5</v>
      </c>
      <c r="H111" s="486">
        <v>10375.710571899024</v>
      </c>
      <c r="I111" s="540">
        <v>10375.710571899024</v>
      </c>
      <c r="J111" s="476">
        <f t="shared" si="33"/>
        <v>0</v>
      </c>
      <c r="K111" s="476"/>
      <c r="L111" s="485"/>
      <c r="M111" s="476">
        <f t="shared" si="35"/>
        <v>0</v>
      </c>
      <c r="N111" s="485"/>
      <c r="O111" s="476">
        <f t="shared" si="37"/>
        <v>0</v>
      </c>
      <c r="P111" s="476">
        <f t="shared" si="38"/>
        <v>0</v>
      </c>
    </row>
    <row r="112" spans="1:16">
      <c r="B112" s="160" t="str">
        <f t="shared" si="39"/>
        <v/>
      </c>
      <c r="C112" s="470">
        <f>IF(D93="","-",+C111+1)</f>
        <v>2023</v>
      </c>
      <c r="D112" s="345">
        <f>IF(F111+SUM(E$99:E111)=D$92,F111,D$92-SUM(E$99:E111))</f>
        <v>70458.5</v>
      </c>
      <c r="E112" s="484">
        <f>IF(+J96&lt;F111,J96,D112)</f>
        <v>2355</v>
      </c>
      <c r="F112" s="483">
        <f t="shared" ref="F112:F129" si="51">+D112-E112</f>
        <v>68103.5</v>
      </c>
      <c r="G112" s="483">
        <f t="shared" ref="G112:G129" si="52">+(F112+D112)/2</f>
        <v>69281</v>
      </c>
      <c r="H112" s="486">
        <f t="shared" ref="H112:H130" si="53">+J$94*G112+E112</f>
        <v>10238.678494012844</v>
      </c>
      <c r="I112" s="540">
        <f t="shared" ref="I112:I130" si="54">+J$95*G112+E112</f>
        <v>10238.678494012844</v>
      </c>
      <c r="J112" s="476">
        <f t="shared" si="33"/>
        <v>0</v>
      </c>
      <c r="K112" s="476"/>
      <c r="L112" s="485"/>
      <c r="M112" s="476">
        <f t="shared" si="35"/>
        <v>0</v>
      </c>
      <c r="N112" s="485"/>
      <c r="O112" s="476">
        <f t="shared" si="37"/>
        <v>0</v>
      </c>
      <c r="P112" s="476">
        <f t="shared" si="38"/>
        <v>0</v>
      </c>
    </row>
    <row r="113" spans="2:16">
      <c r="B113" s="160" t="str">
        <f t="shared" si="39"/>
        <v/>
      </c>
      <c r="C113" s="470">
        <f>IF(D93="","-",+C112+1)</f>
        <v>2024</v>
      </c>
      <c r="D113" s="345">
        <f>IF(F112+SUM(E$99:E112)=D$92,F112,D$92-SUM(E$99:E112))</f>
        <v>68103.5</v>
      </c>
      <c r="E113" s="484">
        <f>IF(+J96&lt;F112,J96,D113)</f>
        <v>2355</v>
      </c>
      <c r="F113" s="483">
        <f t="shared" si="51"/>
        <v>65748.5</v>
      </c>
      <c r="G113" s="483">
        <f t="shared" si="52"/>
        <v>66926</v>
      </c>
      <c r="H113" s="486">
        <f t="shared" si="53"/>
        <v>9970.6964664237457</v>
      </c>
      <c r="I113" s="540">
        <f t="shared" si="54"/>
        <v>9970.6964664237457</v>
      </c>
      <c r="J113" s="476">
        <f t="shared" si="33"/>
        <v>0</v>
      </c>
      <c r="K113" s="476"/>
      <c r="L113" s="485"/>
      <c r="M113" s="476">
        <f t="shared" si="35"/>
        <v>0</v>
      </c>
      <c r="N113" s="485"/>
      <c r="O113" s="476">
        <f t="shared" si="37"/>
        <v>0</v>
      </c>
      <c r="P113" s="476">
        <f t="shared" si="38"/>
        <v>0</v>
      </c>
    </row>
    <row r="114" spans="2:16">
      <c r="B114" s="160" t="str">
        <f t="shared" si="39"/>
        <v/>
      </c>
      <c r="C114" s="470">
        <f>IF(D93="","-",+C113+1)</f>
        <v>2025</v>
      </c>
      <c r="D114" s="345">
        <f>IF(F113+SUM(E$99:E113)=D$92,F113,D$92-SUM(E$99:E113))</f>
        <v>65748.5</v>
      </c>
      <c r="E114" s="484">
        <f>IF(+J96&lt;F113,J96,D114)</f>
        <v>2355</v>
      </c>
      <c r="F114" s="483">
        <f t="shared" si="51"/>
        <v>63393.5</v>
      </c>
      <c r="G114" s="483">
        <f t="shared" si="52"/>
        <v>64571</v>
      </c>
      <c r="H114" s="486">
        <f t="shared" si="53"/>
        <v>9702.7144388346496</v>
      </c>
      <c r="I114" s="540">
        <f t="shared" si="54"/>
        <v>9702.7144388346496</v>
      </c>
      <c r="J114" s="476">
        <f t="shared" si="33"/>
        <v>0</v>
      </c>
      <c r="K114" s="476"/>
      <c r="L114" s="485"/>
      <c r="M114" s="476">
        <f t="shared" si="35"/>
        <v>0</v>
      </c>
      <c r="N114" s="485"/>
      <c r="O114" s="476">
        <f t="shared" si="37"/>
        <v>0</v>
      </c>
      <c r="P114" s="476">
        <f t="shared" si="38"/>
        <v>0</v>
      </c>
    </row>
    <row r="115" spans="2:16">
      <c r="B115" s="160" t="str">
        <f t="shared" si="39"/>
        <v/>
      </c>
      <c r="C115" s="470">
        <f>IF(D93="","-",+C114+1)</f>
        <v>2026</v>
      </c>
      <c r="D115" s="345">
        <f>IF(F114+SUM(E$99:E114)=D$92,F114,D$92-SUM(E$99:E114))</f>
        <v>63393.5</v>
      </c>
      <c r="E115" s="484">
        <f>IF(+J96&lt;F114,J96,D115)</f>
        <v>2355</v>
      </c>
      <c r="F115" s="483">
        <f t="shared" si="51"/>
        <v>61038.5</v>
      </c>
      <c r="G115" s="483">
        <f t="shared" si="52"/>
        <v>62216</v>
      </c>
      <c r="H115" s="486">
        <f t="shared" si="53"/>
        <v>9434.7324112455535</v>
      </c>
      <c r="I115" s="540">
        <f t="shared" si="54"/>
        <v>9434.7324112455535</v>
      </c>
      <c r="J115" s="476">
        <f t="shared" si="33"/>
        <v>0</v>
      </c>
      <c r="K115" s="476"/>
      <c r="L115" s="485"/>
      <c r="M115" s="476">
        <f t="shared" si="35"/>
        <v>0</v>
      </c>
      <c r="N115" s="485"/>
      <c r="O115" s="476">
        <f t="shared" si="37"/>
        <v>0</v>
      </c>
      <c r="P115" s="476">
        <f t="shared" si="38"/>
        <v>0</v>
      </c>
    </row>
    <row r="116" spans="2:16">
      <c r="B116" s="160" t="str">
        <f t="shared" si="39"/>
        <v/>
      </c>
      <c r="C116" s="470">
        <f>IF(D93="","-",+C115+1)</f>
        <v>2027</v>
      </c>
      <c r="D116" s="345">
        <f>IF(F115+SUM(E$99:E115)=D$92,F115,D$92-SUM(E$99:E115))</f>
        <v>61038.5</v>
      </c>
      <c r="E116" s="484">
        <f>IF(+J96&lt;F115,J96,D116)</f>
        <v>2355</v>
      </c>
      <c r="F116" s="483">
        <f t="shared" si="51"/>
        <v>58683.5</v>
      </c>
      <c r="G116" s="483">
        <f t="shared" si="52"/>
        <v>59861</v>
      </c>
      <c r="H116" s="486">
        <f t="shared" si="53"/>
        <v>9166.7503836564538</v>
      </c>
      <c r="I116" s="540">
        <f t="shared" si="54"/>
        <v>9166.7503836564538</v>
      </c>
      <c r="J116" s="476">
        <f t="shared" si="33"/>
        <v>0</v>
      </c>
      <c r="K116" s="476"/>
      <c r="L116" s="485"/>
      <c r="M116" s="476">
        <f t="shared" si="35"/>
        <v>0</v>
      </c>
      <c r="N116" s="485"/>
      <c r="O116" s="476">
        <f t="shared" si="37"/>
        <v>0</v>
      </c>
      <c r="P116" s="476">
        <f t="shared" si="38"/>
        <v>0</v>
      </c>
    </row>
    <row r="117" spans="2:16">
      <c r="B117" s="160" t="str">
        <f t="shared" si="39"/>
        <v/>
      </c>
      <c r="C117" s="470">
        <f>IF(D93="","-",+C116+1)</f>
        <v>2028</v>
      </c>
      <c r="D117" s="345">
        <f>IF(F116+SUM(E$99:E116)=D$92,F116,D$92-SUM(E$99:E116))</f>
        <v>58683.5</v>
      </c>
      <c r="E117" s="484">
        <f>IF(+J96&lt;F116,J96,D117)</f>
        <v>2355</v>
      </c>
      <c r="F117" s="483">
        <f t="shared" si="51"/>
        <v>56328.5</v>
      </c>
      <c r="G117" s="483">
        <f t="shared" si="52"/>
        <v>57506</v>
      </c>
      <c r="H117" s="486">
        <f t="shared" si="53"/>
        <v>8898.7683560673577</v>
      </c>
      <c r="I117" s="540">
        <f t="shared" si="54"/>
        <v>8898.7683560673577</v>
      </c>
      <c r="J117" s="476">
        <f t="shared" si="33"/>
        <v>0</v>
      </c>
      <c r="K117" s="476"/>
      <c r="L117" s="485"/>
      <c r="M117" s="476">
        <f t="shared" si="35"/>
        <v>0</v>
      </c>
      <c r="N117" s="485"/>
      <c r="O117" s="476">
        <f t="shared" si="37"/>
        <v>0</v>
      </c>
      <c r="P117" s="476">
        <f t="shared" si="38"/>
        <v>0</v>
      </c>
    </row>
    <row r="118" spans="2:16">
      <c r="B118" s="160" t="str">
        <f t="shared" si="39"/>
        <v/>
      </c>
      <c r="C118" s="470">
        <f>IF(D93="","-",+C117+1)</f>
        <v>2029</v>
      </c>
      <c r="D118" s="345">
        <f>IF(F117+SUM(E$99:E117)=D$92,F117,D$92-SUM(E$99:E117))</f>
        <v>56328.5</v>
      </c>
      <c r="E118" s="484">
        <f>IF(+J96&lt;F117,J96,D118)</f>
        <v>2355</v>
      </c>
      <c r="F118" s="483">
        <f t="shared" si="51"/>
        <v>53973.5</v>
      </c>
      <c r="G118" s="483">
        <f t="shared" si="52"/>
        <v>55151</v>
      </c>
      <c r="H118" s="486">
        <f t="shared" si="53"/>
        <v>8630.7863284782616</v>
      </c>
      <c r="I118" s="540">
        <f t="shared" si="54"/>
        <v>8630.7863284782616</v>
      </c>
      <c r="J118" s="476">
        <f t="shared" si="33"/>
        <v>0</v>
      </c>
      <c r="K118" s="476"/>
      <c r="L118" s="485"/>
      <c r="M118" s="476">
        <f t="shared" si="35"/>
        <v>0</v>
      </c>
      <c r="N118" s="485"/>
      <c r="O118" s="476">
        <f t="shared" si="37"/>
        <v>0</v>
      </c>
      <c r="P118" s="476">
        <f t="shared" si="38"/>
        <v>0</v>
      </c>
    </row>
    <row r="119" spans="2:16">
      <c r="B119" s="160" t="str">
        <f t="shared" si="39"/>
        <v/>
      </c>
      <c r="C119" s="470">
        <f>IF(D93="","-",+C118+1)</f>
        <v>2030</v>
      </c>
      <c r="D119" s="345">
        <f>IF(F118+SUM(E$99:E118)=D$92,F118,D$92-SUM(E$99:E118))</f>
        <v>53973.5</v>
      </c>
      <c r="E119" s="484">
        <f>IF(+J96&lt;F118,J96,D119)</f>
        <v>2355</v>
      </c>
      <c r="F119" s="483">
        <f t="shared" si="51"/>
        <v>51618.5</v>
      </c>
      <c r="G119" s="483">
        <f t="shared" si="52"/>
        <v>52796</v>
      </c>
      <c r="H119" s="486">
        <f t="shared" si="53"/>
        <v>8362.8043008891618</v>
      </c>
      <c r="I119" s="540">
        <f t="shared" si="54"/>
        <v>8362.8043008891618</v>
      </c>
      <c r="J119" s="476">
        <f t="shared" si="33"/>
        <v>0</v>
      </c>
      <c r="K119" s="476"/>
      <c r="L119" s="485"/>
      <c r="M119" s="476">
        <f t="shared" si="35"/>
        <v>0</v>
      </c>
      <c r="N119" s="485"/>
      <c r="O119" s="476">
        <f t="shared" si="37"/>
        <v>0</v>
      </c>
      <c r="P119" s="476">
        <f t="shared" si="38"/>
        <v>0</v>
      </c>
    </row>
    <row r="120" spans="2:16">
      <c r="B120" s="160" t="str">
        <f t="shared" si="39"/>
        <v/>
      </c>
      <c r="C120" s="470">
        <f>IF(D93="","-",+C119+1)</f>
        <v>2031</v>
      </c>
      <c r="D120" s="345">
        <f>IF(F119+SUM(E$99:E119)=D$92,F119,D$92-SUM(E$99:E119))</f>
        <v>51618.5</v>
      </c>
      <c r="E120" s="484">
        <f>IF(+J96&lt;F119,J96,D120)</f>
        <v>2355</v>
      </c>
      <c r="F120" s="483">
        <f t="shared" si="51"/>
        <v>49263.5</v>
      </c>
      <c r="G120" s="483">
        <f t="shared" si="52"/>
        <v>50441</v>
      </c>
      <c r="H120" s="486">
        <f t="shared" si="53"/>
        <v>8094.8222733000657</v>
      </c>
      <c r="I120" s="540">
        <f t="shared" si="54"/>
        <v>8094.8222733000657</v>
      </c>
      <c r="J120" s="476">
        <f t="shared" si="33"/>
        <v>0</v>
      </c>
      <c r="K120" s="476"/>
      <c r="L120" s="485"/>
      <c r="M120" s="476">
        <f t="shared" si="35"/>
        <v>0</v>
      </c>
      <c r="N120" s="485"/>
      <c r="O120" s="476">
        <f t="shared" si="37"/>
        <v>0</v>
      </c>
      <c r="P120" s="476">
        <f t="shared" si="38"/>
        <v>0</v>
      </c>
    </row>
    <row r="121" spans="2:16">
      <c r="B121" s="160" t="str">
        <f t="shared" si="39"/>
        <v/>
      </c>
      <c r="C121" s="470">
        <f>IF(D93="","-",+C120+1)</f>
        <v>2032</v>
      </c>
      <c r="D121" s="345">
        <f>IF(F120+SUM(E$99:E120)=D$92,F120,D$92-SUM(E$99:E120))</f>
        <v>49263.5</v>
      </c>
      <c r="E121" s="484">
        <f>IF(+J96&lt;F120,J96,D121)</f>
        <v>2355</v>
      </c>
      <c r="F121" s="483">
        <f t="shared" si="51"/>
        <v>46908.5</v>
      </c>
      <c r="G121" s="483">
        <f t="shared" si="52"/>
        <v>48086</v>
      </c>
      <c r="H121" s="486">
        <f t="shared" si="53"/>
        <v>7826.8402457109687</v>
      </c>
      <c r="I121" s="540">
        <f t="shared" si="54"/>
        <v>7826.8402457109687</v>
      </c>
      <c r="J121" s="476">
        <f t="shared" si="33"/>
        <v>0</v>
      </c>
      <c r="K121" s="476"/>
      <c r="L121" s="485"/>
      <c r="M121" s="476">
        <f t="shared" si="35"/>
        <v>0</v>
      </c>
      <c r="N121" s="485"/>
      <c r="O121" s="476">
        <f t="shared" si="37"/>
        <v>0</v>
      </c>
      <c r="P121" s="476">
        <f t="shared" si="38"/>
        <v>0</v>
      </c>
    </row>
    <row r="122" spans="2:16">
      <c r="B122" s="160" t="str">
        <f t="shared" si="39"/>
        <v/>
      </c>
      <c r="C122" s="470">
        <f>IF(D93="","-",+C121+1)</f>
        <v>2033</v>
      </c>
      <c r="D122" s="345">
        <f>IF(F121+SUM(E$99:E121)=D$92,F121,D$92-SUM(E$99:E121))</f>
        <v>46908.5</v>
      </c>
      <c r="E122" s="484">
        <f>IF(+J96&lt;F121,J96,D122)</f>
        <v>2355</v>
      </c>
      <c r="F122" s="483">
        <f t="shared" si="51"/>
        <v>44553.5</v>
      </c>
      <c r="G122" s="483">
        <f t="shared" si="52"/>
        <v>45731</v>
      </c>
      <c r="H122" s="486">
        <f t="shared" si="53"/>
        <v>7558.8582181218717</v>
      </c>
      <c r="I122" s="540">
        <f t="shared" si="54"/>
        <v>7558.8582181218717</v>
      </c>
      <c r="J122" s="476">
        <f t="shared" si="33"/>
        <v>0</v>
      </c>
      <c r="K122" s="476"/>
      <c r="L122" s="485"/>
      <c r="M122" s="476">
        <f t="shared" si="35"/>
        <v>0</v>
      </c>
      <c r="N122" s="485"/>
      <c r="O122" s="476">
        <f t="shared" si="37"/>
        <v>0</v>
      </c>
      <c r="P122" s="476">
        <f t="shared" si="38"/>
        <v>0</v>
      </c>
    </row>
    <row r="123" spans="2:16">
      <c r="B123" s="160" t="str">
        <f t="shared" si="39"/>
        <v/>
      </c>
      <c r="C123" s="470">
        <f>IF(D93="","-",+C122+1)</f>
        <v>2034</v>
      </c>
      <c r="D123" s="345">
        <f>IF(F122+SUM(E$99:E122)=D$92,F122,D$92-SUM(E$99:E122))</f>
        <v>44553.5</v>
      </c>
      <c r="E123" s="484">
        <f>IF(+J96&lt;F122,J96,D123)</f>
        <v>2355</v>
      </c>
      <c r="F123" s="483">
        <f t="shared" si="51"/>
        <v>42198.5</v>
      </c>
      <c r="G123" s="483">
        <f t="shared" si="52"/>
        <v>43376</v>
      </c>
      <c r="H123" s="486">
        <f t="shared" si="53"/>
        <v>7290.8761905327738</v>
      </c>
      <c r="I123" s="540">
        <f t="shared" si="54"/>
        <v>7290.8761905327738</v>
      </c>
      <c r="J123" s="476">
        <f t="shared" si="33"/>
        <v>0</v>
      </c>
      <c r="K123" s="476"/>
      <c r="L123" s="485"/>
      <c r="M123" s="476">
        <f t="shared" si="35"/>
        <v>0</v>
      </c>
      <c r="N123" s="485"/>
      <c r="O123" s="476">
        <f t="shared" si="37"/>
        <v>0</v>
      </c>
      <c r="P123" s="476">
        <f t="shared" si="38"/>
        <v>0</v>
      </c>
    </row>
    <row r="124" spans="2:16">
      <c r="B124" s="160" t="str">
        <f t="shared" si="39"/>
        <v/>
      </c>
      <c r="C124" s="470">
        <f>IF(D93="","-",+C123+1)</f>
        <v>2035</v>
      </c>
      <c r="D124" s="345">
        <f>IF(F123+SUM(E$99:E123)=D$92,F123,D$92-SUM(E$99:E123))</f>
        <v>42198.5</v>
      </c>
      <c r="E124" s="484">
        <f>IF(+J96&lt;F123,J96,D124)</f>
        <v>2355</v>
      </c>
      <c r="F124" s="483">
        <f t="shared" si="51"/>
        <v>39843.5</v>
      </c>
      <c r="G124" s="483">
        <f t="shared" si="52"/>
        <v>41021</v>
      </c>
      <c r="H124" s="486">
        <f t="shared" si="53"/>
        <v>7022.8941629436767</v>
      </c>
      <c r="I124" s="540">
        <f t="shared" si="54"/>
        <v>7022.8941629436767</v>
      </c>
      <c r="J124" s="476">
        <f t="shared" si="33"/>
        <v>0</v>
      </c>
      <c r="K124" s="476"/>
      <c r="L124" s="485"/>
      <c r="M124" s="476">
        <f t="shared" si="35"/>
        <v>0</v>
      </c>
      <c r="N124" s="485"/>
      <c r="O124" s="476">
        <f t="shared" si="37"/>
        <v>0</v>
      </c>
      <c r="P124" s="476">
        <f t="shared" si="38"/>
        <v>0</v>
      </c>
    </row>
    <row r="125" spans="2:16">
      <c r="B125" s="160" t="str">
        <f t="shared" si="39"/>
        <v/>
      </c>
      <c r="C125" s="470">
        <f>IF(D93="","-",+C124+1)</f>
        <v>2036</v>
      </c>
      <c r="D125" s="345">
        <f>IF(F124+SUM(E$99:E124)=D$92,F124,D$92-SUM(E$99:E124))</f>
        <v>39843.5</v>
      </c>
      <c r="E125" s="484">
        <f>IF(+J96&lt;F124,J96,D125)</f>
        <v>2355</v>
      </c>
      <c r="F125" s="483">
        <f t="shared" si="51"/>
        <v>37488.5</v>
      </c>
      <c r="G125" s="483">
        <f t="shared" si="52"/>
        <v>38666</v>
      </c>
      <c r="H125" s="486">
        <f t="shared" si="53"/>
        <v>6754.9121353545797</v>
      </c>
      <c r="I125" s="540">
        <f t="shared" si="54"/>
        <v>6754.9121353545797</v>
      </c>
      <c r="J125" s="476">
        <f t="shared" si="33"/>
        <v>0</v>
      </c>
      <c r="K125" s="476"/>
      <c r="L125" s="485"/>
      <c r="M125" s="476">
        <f t="shared" si="35"/>
        <v>0</v>
      </c>
      <c r="N125" s="485"/>
      <c r="O125" s="476">
        <f t="shared" si="37"/>
        <v>0</v>
      </c>
      <c r="P125" s="476">
        <f t="shared" si="38"/>
        <v>0</v>
      </c>
    </row>
    <row r="126" spans="2:16">
      <c r="B126" s="160" t="str">
        <f t="shared" si="39"/>
        <v/>
      </c>
      <c r="C126" s="470">
        <f>IF(D93="","-",+C125+1)</f>
        <v>2037</v>
      </c>
      <c r="D126" s="345">
        <f>IF(F125+SUM(E$99:E125)=D$92,F125,D$92-SUM(E$99:E125))</f>
        <v>37488.5</v>
      </c>
      <c r="E126" s="484">
        <f>IF(+J96&lt;F125,J96,D126)</f>
        <v>2355</v>
      </c>
      <c r="F126" s="483">
        <f t="shared" si="51"/>
        <v>35133.5</v>
      </c>
      <c r="G126" s="483">
        <f t="shared" si="52"/>
        <v>36311</v>
      </c>
      <c r="H126" s="486">
        <f t="shared" si="53"/>
        <v>6486.9301077654827</v>
      </c>
      <c r="I126" s="540">
        <f t="shared" si="54"/>
        <v>6486.9301077654827</v>
      </c>
      <c r="J126" s="476">
        <f t="shared" si="33"/>
        <v>0</v>
      </c>
      <c r="K126" s="476"/>
      <c r="L126" s="485"/>
      <c r="M126" s="476">
        <f t="shared" si="35"/>
        <v>0</v>
      </c>
      <c r="N126" s="485"/>
      <c r="O126" s="476">
        <f t="shared" si="37"/>
        <v>0</v>
      </c>
      <c r="P126" s="476">
        <f t="shared" si="38"/>
        <v>0</v>
      </c>
    </row>
    <row r="127" spans="2:16">
      <c r="B127" s="160" t="str">
        <f t="shared" si="39"/>
        <v/>
      </c>
      <c r="C127" s="470">
        <f>IF(D93="","-",+C126+1)</f>
        <v>2038</v>
      </c>
      <c r="D127" s="345">
        <f>IF(F126+SUM(E$99:E126)=D$92,F126,D$92-SUM(E$99:E126))</f>
        <v>35133.5</v>
      </c>
      <c r="E127" s="484">
        <f>IF(+J96&lt;F126,J96,D127)</f>
        <v>2355</v>
      </c>
      <c r="F127" s="483">
        <f t="shared" si="51"/>
        <v>32778.5</v>
      </c>
      <c r="G127" s="483">
        <f t="shared" si="52"/>
        <v>33956</v>
      </c>
      <c r="H127" s="486">
        <f t="shared" si="53"/>
        <v>6218.9480801763857</v>
      </c>
      <c r="I127" s="540">
        <f t="shared" si="54"/>
        <v>6218.9480801763857</v>
      </c>
      <c r="J127" s="476">
        <f t="shared" si="33"/>
        <v>0</v>
      </c>
      <c r="K127" s="476"/>
      <c r="L127" s="485"/>
      <c r="M127" s="476">
        <f t="shared" si="35"/>
        <v>0</v>
      </c>
      <c r="N127" s="485"/>
      <c r="O127" s="476">
        <f t="shared" si="37"/>
        <v>0</v>
      </c>
      <c r="P127" s="476">
        <f t="shared" si="38"/>
        <v>0</v>
      </c>
    </row>
    <row r="128" spans="2:16">
      <c r="B128" s="160" t="str">
        <f t="shared" si="39"/>
        <v/>
      </c>
      <c r="C128" s="470">
        <f>IF(D93="","-",+C127+1)</f>
        <v>2039</v>
      </c>
      <c r="D128" s="345">
        <f>IF(F127+SUM(E$99:E127)=D$92,F127,D$92-SUM(E$99:E127))</f>
        <v>32778.5</v>
      </c>
      <c r="E128" s="484">
        <f>IF(+J96&lt;F127,J96,D128)</f>
        <v>2355</v>
      </c>
      <c r="F128" s="483">
        <f t="shared" si="51"/>
        <v>30423.5</v>
      </c>
      <c r="G128" s="483">
        <f t="shared" si="52"/>
        <v>31601</v>
      </c>
      <c r="H128" s="486">
        <f t="shared" si="53"/>
        <v>5950.9660525872878</v>
      </c>
      <c r="I128" s="540">
        <f t="shared" si="54"/>
        <v>5950.9660525872878</v>
      </c>
      <c r="J128" s="476">
        <f t="shared" si="33"/>
        <v>0</v>
      </c>
      <c r="K128" s="476"/>
      <c r="L128" s="485"/>
      <c r="M128" s="476">
        <f t="shared" si="35"/>
        <v>0</v>
      </c>
      <c r="N128" s="485"/>
      <c r="O128" s="476">
        <f t="shared" si="37"/>
        <v>0</v>
      </c>
      <c r="P128" s="476">
        <f t="shared" si="38"/>
        <v>0</v>
      </c>
    </row>
    <row r="129" spans="2:16">
      <c r="B129" s="160" t="str">
        <f t="shared" si="39"/>
        <v/>
      </c>
      <c r="C129" s="470">
        <f>IF(D93="","-",+C128+1)</f>
        <v>2040</v>
      </c>
      <c r="D129" s="345">
        <f>IF(F128+SUM(E$99:E128)=D$92,F128,D$92-SUM(E$99:E128))</f>
        <v>30423.5</v>
      </c>
      <c r="E129" s="484">
        <f>IF(+J96&lt;F128,J96,D129)</f>
        <v>2355</v>
      </c>
      <c r="F129" s="483">
        <f t="shared" si="51"/>
        <v>28068.5</v>
      </c>
      <c r="G129" s="483">
        <f t="shared" si="52"/>
        <v>29246</v>
      </c>
      <c r="H129" s="486">
        <f t="shared" si="53"/>
        <v>5682.9840249981899</v>
      </c>
      <c r="I129" s="540">
        <f t="shared" si="54"/>
        <v>5682.9840249981899</v>
      </c>
      <c r="J129" s="476">
        <f t="shared" si="33"/>
        <v>0</v>
      </c>
      <c r="K129" s="476"/>
      <c r="L129" s="485"/>
      <c r="M129" s="476">
        <f t="shared" si="35"/>
        <v>0</v>
      </c>
      <c r="N129" s="485"/>
      <c r="O129" s="476">
        <f t="shared" si="37"/>
        <v>0</v>
      </c>
      <c r="P129" s="476">
        <f t="shared" si="38"/>
        <v>0</v>
      </c>
    </row>
    <row r="130" spans="2:16">
      <c r="B130" s="160" t="str">
        <f t="shared" si="39"/>
        <v/>
      </c>
      <c r="C130" s="470">
        <f>IF(D93="","-",+C129+1)</f>
        <v>2041</v>
      </c>
      <c r="D130" s="345">
        <f>IF(F129+SUM(E$99:E129)=D$92,F129,D$92-SUM(E$99:E129))</f>
        <v>28068.5</v>
      </c>
      <c r="E130" s="484">
        <f>IF(+J96&lt;F129,J96,D130)</f>
        <v>2355</v>
      </c>
      <c r="F130" s="483">
        <f t="shared" ref="F130:F145" si="55">+D130-E130</f>
        <v>25713.5</v>
      </c>
      <c r="G130" s="483">
        <f t="shared" ref="G130:G145" si="56">+(F130+D130)/2</f>
        <v>26891</v>
      </c>
      <c r="H130" s="486">
        <f t="shared" si="53"/>
        <v>5415.0019974090937</v>
      </c>
      <c r="I130" s="540">
        <f t="shared" si="54"/>
        <v>5415.0019974090937</v>
      </c>
      <c r="J130" s="476">
        <f t="shared" si="33"/>
        <v>0</v>
      </c>
      <c r="K130" s="476"/>
      <c r="L130" s="485"/>
      <c r="M130" s="476">
        <f t="shared" si="35"/>
        <v>0</v>
      </c>
      <c r="N130" s="485"/>
      <c r="O130" s="476">
        <f t="shared" si="37"/>
        <v>0</v>
      </c>
      <c r="P130" s="476">
        <f t="shared" si="38"/>
        <v>0</v>
      </c>
    </row>
    <row r="131" spans="2:16">
      <c r="B131" s="160" t="str">
        <f t="shared" si="39"/>
        <v/>
      </c>
      <c r="C131" s="470">
        <f>IF(D93="","-",+C130+1)</f>
        <v>2042</v>
      </c>
      <c r="D131" s="345">
        <f>IF(F130+SUM(E$99:E130)=D$92,F130,D$92-SUM(E$99:E130))</f>
        <v>25713.5</v>
      </c>
      <c r="E131" s="484">
        <f>IF(+J96&lt;F130,J96,D131)</f>
        <v>2355</v>
      </c>
      <c r="F131" s="483">
        <f t="shared" si="55"/>
        <v>23358.5</v>
      </c>
      <c r="G131" s="483">
        <f t="shared" si="56"/>
        <v>24536</v>
      </c>
      <c r="H131" s="486">
        <f t="shared" ref="H131:H154" si="57">+J$94*G131+E131</f>
        <v>5147.0199698199958</v>
      </c>
      <c r="I131" s="540">
        <f t="shared" ref="I131:I154" si="58">+J$95*G131+E131</f>
        <v>5147.0199698199958</v>
      </c>
      <c r="J131" s="476">
        <f t="shared" ref="J131:J154" si="59">+I541-H541</f>
        <v>0</v>
      </c>
      <c r="K131" s="476"/>
      <c r="L131" s="485"/>
      <c r="M131" s="476">
        <f t="shared" ref="M131:M154" si="60">IF(L541&lt;&gt;0,+H541-L541,0)</f>
        <v>0</v>
      </c>
      <c r="N131" s="485"/>
      <c r="O131" s="476">
        <f t="shared" ref="O131:O154" si="61">IF(N541&lt;&gt;0,+I541-N541,0)</f>
        <v>0</v>
      </c>
      <c r="P131" s="476">
        <f t="shared" ref="P131:P154" si="62">+O541-M541</f>
        <v>0</v>
      </c>
    </row>
    <row r="132" spans="2:16">
      <c r="B132" s="160" t="str">
        <f t="shared" si="39"/>
        <v/>
      </c>
      <c r="C132" s="470">
        <f>IF(D93="","-",+C131+1)</f>
        <v>2043</v>
      </c>
      <c r="D132" s="345">
        <f>IF(F131+SUM(E$99:E131)=D$92,F131,D$92-SUM(E$99:E131))</f>
        <v>23358.5</v>
      </c>
      <c r="E132" s="484">
        <f>IF(+J96&lt;F131,J96,D132)</f>
        <v>2355</v>
      </c>
      <c r="F132" s="483">
        <f t="shared" si="55"/>
        <v>21003.5</v>
      </c>
      <c r="G132" s="483">
        <f t="shared" si="56"/>
        <v>22181</v>
      </c>
      <c r="H132" s="486">
        <f t="shared" si="57"/>
        <v>4879.0379422308988</v>
      </c>
      <c r="I132" s="540">
        <f t="shared" si="58"/>
        <v>4879.0379422308988</v>
      </c>
      <c r="J132" s="476">
        <f t="shared" si="59"/>
        <v>0</v>
      </c>
      <c r="K132" s="476"/>
      <c r="L132" s="485"/>
      <c r="M132" s="476">
        <f t="shared" si="60"/>
        <v>0</v>
      </c>
      <c r="N132" s="485"/>
      <c r="O132" s="476">
        <f t="shared" si="61"/>
        <v>0</v>
      </c>
      <c r="P132" s="476">
        <f t="shared" si="62"/>
        <v>0</v>
      </c>
    </row>
    <row r="133" spans="2:16">
      <c r="B133" s="160" t="str">
        <f t="shared" si="39"/>
        <v/>
      </c>
      <c r="C133" s="470">
        <f>IF(D93="","-",+C132+1)</f>
        <v>2044</v>
      </c>
      <c r="D133" s="345">
        <f>IF(F132+SUM(E$99:E132)=D$92,F132,D$92-SUM(E$99:E132))</f>
        <v>21003.5</v>
      </c>
      <c r="E133" s="484">
        <f>IF(+J96&lt;F132,J96,D133)</f>
        <v>2355</v>
      </c>
      <c r="F133" s="483">
        <f t="shared" si="55"/>
        <v>18648.5</v>
      </c>
      <c r="G133" s="483">
        <f t="shared" si="56"/>
        <v>19826</v>
      </c>
      <c r="H133" s="486">
        <f t="shared" si="57"/>
        <v>4611.0559146418018</v>
      </c>
      <c r="I133" s="540">
        <f t="shared" si="58"/>
        <v>4611.0559146418018</v>
      </c>
      <c r="J133" s="476">
        <f t="shared" si="59"/>
        <v>0</v>
      </c>
      <c r="K133" s="476"/>
      <c r="L133" s="485"/>
      <c r="M133" s="476">
        <f t="shared" si="60"/>
        <v>0</v>
      </c>
      <c r="N133" s="485"/>
      <c r="O133" s="476">
        <f t="shared" si="61"/>
        <v>0</v>
      </c>
      <c r="P133" s="476">
        <f t="shared" si="62"/>
        <v>0</v>
      </c>
    </row>
    <row r="134" spans="2:16">
      <c r="B134" s="160" t="str">
        <f t="shared" si="39"/>
        <v/>
      </c>
      <c r="C134" s="470">
        <f>IF(D93="","-",+C133+1)</f>
        <v>2045</v>
      </c>
      <c r="D134" s="345">
        <f>IF(F133+SUM(E$99:E133)=D$92,F133,D$92-SUM(E$99:E133))</f>
        <v>18648.5</v>
      </c>
      <c r="E134" s="484">
        <f>IF(+J96&lt;F133,J96,D134)</f>
        <v>2355</v>
      </c>
      <c r="F134" s="483">
        <f t="shared" si="55"/>
        <v>16293.5</v>
      </c>
      <c r="G134" s="483">
        <f t="shared" si="56"/>
        <v>17471</v>
      </c>
      <c r="H134" s="486">
        <f t="shared" si="57"/>
        <v>4343.0738870527039</v>
      </c>
      <c r="I134" s="540">
        <f t="shared" si="58"/>
        <v>4343.0738870527039</v>
      </c>
      <c r="J134" s="476">
        <f t="shared" si="59"/>
        <v>0</v>
      </c>
      <c r="K134" s="476"/>
      <c r="L134" s="485"/>
      <c r="M134" s="476">
        <f t="shared" si="60"/>
        <v>0</v>
      </c>
      <c r="N134" s="485"/>
      <c r="O134" s="476">
        <f t="shared" si="61"/>
        <v>0</v>
      </c>
      <c r="P134" s="476">
        <f t="shared" si="62"/>
        <v>0</v>
      </c>
    </row>
    <row r="135" spans="2:16">
      <c r="B135" s="160" t="str">
        <f t="shared" si="39"/>
        <v/>
      </c>
      <c r="C135" s="470">
        <f>IF(D93="","-",+C134+1)</f>
        <v>2046</v>
      </c>
      <c r="D135" s="345">
        <f>IF(F134+SUM(E$99:E134)=D$92,F134,D$92-SUM(E$99:E134))</f>
        <v>16293.5</v>
      </c>
      <c r="E135" s="484">
        <f>IF(+J96&lt;F134,J96,D135)</f>
        <v>2355</v>
      </c>
      <c r="F135" s="483">
        <f t="shared" si="55"/>
        <v>13938.5</v>
      </c>
      <c r="G135" s="483">
        <f t="shared" si="56"/>
        <v>15116</v>
      </c>
      <c r="H135" s="486">
        <f t="shared" si="57"/>
        <v>4075.0918594636069</v>
      </c>
      <c r="I135" s="540">
        <f t="shared" si="58"/>
        <v>4075.0918594636069</v>
      </c>
      <c r="J135" s="476">
        <f t="shared" si="59"/>
        <v>0</v>
      </c>
      <c r="K135" s="476"/>
      <c r="L135" s="485"/>
      <c r="M135" s="476">
        <f t="shared" si="60"/>
        <v>0</v>
      </c>
      <c r="N135" s="485"/>
      <c r="O135" s="476">
        <f t="shared" si="61"/>
        <v>0</v>
      </c>
      <c r="P135" s="476">
        <f t="shared" si="62"/>
        <v>0</v>
      </c>
    </row>
    <row r="136" spans="2:16">
      <c r="B136" s="160" t="str">
        <f t="shared" si="39"/>
        <v/>
      </c>
      <c r="C136" s="470">
        <f>IF(D93="","-",+C135+1)</f>
        <v>2047</v>
      </c>
      <c r="D136" s="345">
        <f>IF(F135+SUM(E$99:E135)=D$92,F135,D$92-SUM(E$99:E135))</f>
        <v>13938.5</v>
      </c>
      <c r="E136" s="484">
        <f>IF(+J96&lt;F135,J96,D136)</f>
        <v>2355</v>
      </c>
      <c r="F136" s="483">
        <f t="shared" si="55"/>
        <v>11583.5</v>
      </c>
      <c r="G136" s="483">
        <f t="shared" si="56"/>
        <v>12761</v>
      </c>
      <c r="H136" s="486">
        <f t="shared" si="57"/>
        <v>3807.1098318745098</v>
      </c>
      <c r="I136" s="540">
        <f t="shared" si="58"/>
        <v>3807.1098318745098</v>
      </c>
      <c r="J136" s="476">
        <f t="shared" si="59"/>
        <v>0</v>
      </c>
      <c r="K136" s="476"/>
      <c r="L136" s="485"/>
      <c r="M136" s="476">
        <f t="shared" si="60"/>
        <v>0</v>
      </c>
      <c r="N136" s="485"/>
      <c r="O136" s="476">
        <f t="shared" si="61"/>
        <v>0</v>
      </c>
      <c r="P136" s="476">
        <f t="shared" si="62"/>
        <v>0</v>
      </c>
    </row>
    <row r="137" spans="2:16">
      <c r="B137" s="160" t="str">
        <f t="shared" si="39"/>
        <v/>
      </c>
      <c r="C137" s="470">
        <f>IF(D93="","-",+C136+1)</f>
        <v>2048</v>
      </c>
      <c r="D137" s="345">
        <f>IF(F136+SUM(E$99:E136)=D$92,F136,D$92-SUM(E$99:E136))</f>
        <v>11583.5</v>
      </c>
      <c r="E137" s="484">
        <f>IF(+J96&lt;F136,J96,D137)</f>
        <v>2355</v>
      </c>
      <c r="F137" s="483">
        <f t="shared" si="55"/>
        <v>9228.5</v>
      </c>
      <c r="G137" s="483">
        <f t="shared" si="56"/>
        <v>10406</v>
      </c>
      <c r="H137" s="486">
        <f t="shared" si="57"/>
        <v>3539.1278042854124</v>
      </c>
      <c r="I137" s="540">
        <f t="shared" si="58"/>
        <v>3539.1278042854124</v>
      </c>
      <c r="J137" s="476">
        <f t="shared" si="59"/>
        <v>0</v>
      </c>
      <c r="K137" s="476"/>
      <c r="L137" s="485"/>
      <c r="M137" s="476">
        <f t="shared" si="60"/>
        <v>0</v>
      </c>
      <c r="N137" s="485"/>
      <c r="O137" s="476">
        <f t="shared" si="61"/>
        <v>0</v>
      </c>
      <c r="P137" s="476">
        <f t="shared" si="62"/>
        <v>0</v>
      </c>
    </row>
    <row r="138" spans="2:16">
      <c r="B138" s="160" t="str">
        <f t="shared" si="39"/>
        <v/>
      </c>
      <c r="C138" s="470">
        <f>IF(D93="","-",+C137+1)</f>
        <v>2049</v>
      </c>
      <c r="D138" s="345">
        <f>IF(F137+SUM(E$99:E137)=D$92,F137,D$92-SUM(E$99:E137))</f>
        <v>9228.5</v>
      </c>
      <c r="E138" s="484">
        <f>IF(+J96&lt;F137,J96,D138)</f>
        <v>2355</v>
      </c>
      <c r="F138" s="483">
        <f t="shared" si="55"/>
        <v>6873.5</v>
      </c>
      <c r="G138" s="483">
        <f t="shared" si="56"/>
        <v>8051</v>
      </c>
      <c r="H138" s="486">
        <f t="shared" si="57"/>
        <v>3271.1457766963149</v>
      </c>
      <c r="I138" s="540">
        <f t="shared" si="58"/>
        <v>3271.1457766963149</v>
      </c>
      <c r="J138" s="476">
        <f t="shared" si="59"/>
        <v>0</v>
      </c>
      <c r="K138" s="476"/>
      <c r="L138" s="485"/>
      <c r="M138" s="476">
        <f t="shared" si="60"/>
        <v>0</v>
      </c>
      <c r="N138" s="485"/>
      <c r="O138" s="476">
        <f t="shared" si="61"/>
        <v>0</v>
      </c>
      <c r="P138" s="476">
        <f t="shared" si="62"/>
        <v>0</v>
      </c>
    </row>
    <row r="139" spans="2:16">
      <c r="B139" s="160" t="str">
        <f t="shared" si="39"/>
        <v/>
      </c>
      <c r="C139" s="470">
        <f>IF(D93="","-",+C138+1)</f>
        <v>2050</v>
      </c>
      <c r="D139" s="345">
        <f>IF(F138+SUM(E$99:E138)=D$92,F138,D$92-SUM(E$99:E138))</f>
        <v>6873.5</v>
      </c>
      <c r="E139" s="484">
        <f>IF(+J96&lt;F138,J96,D139)</f>
        <v>2355</v>
      </c>
      <c r="F139" s="483">
        <f t="shared" si="55"/>
        <v>4518.5</v>
      </c>
      <c r="G139" s="483">
        <f t="shared" si="56"/>
        <v>5696</v>
      </c>
      <c r="H139" s="486">
        <f t="shared" si="57"/>
        <v>3003.1637491072179</v>
      </c>
      <c r="I139" s="540">
        <f t="shared" si="58"/>
        <v>3003.1637491072179</v>
      </c>
      <c r="J139" s="476">
        <f t="shared" si="59"/>
        <v>0</v>
      </c>
      <c r="K139" s="476"/>
      <c r="L139" s="485"/>
      <c r="M139" s="476">
        <f t="shared" si="60"/>
        <v>0</v>
      </c>
      <c r="N139" s="485"/>
      <c r="O139" s="476">
        <f t="shared" si="61"/>
        <v>0</v>
      </c>
      <c r="P139" s="476">
        <f t="shared" si="62"/>
        <v>0</v>
      </c>
    </row>
    <row r="140" spans="2:16">
      <c r="B140" s="160" t="str">
        <f t="shared" si="39"/>
        <v/>
      </c>
      <c r="C140" s="470">
        <f>IF(D93="","-",+C139+1)</f>
        <v>2051</v>
      </c>
      <c r="D140" s="345">
        <f>IF(F139+SUM(E$99:E139)=D$92,F139,D$92-SUM(E$99:E139))</f>
        <v>4518.5</v>
      </c>
      <c r="E140" s="484">
        <f>IF(+J96&lt;F139,J96,D140)</f>
        <v>2355</v>
      </c>
      <c r="F140" s="483">
        <f t="shared" si="55"/>
        <v>2163.5</v>
      </c>
      <c r="G140" s="483">
        <f t="shared" si="56"/>
        <v>3341</v>
      </c>
      <c r="H140" s="486">
        <f t="shared" si="57"/>
        <v>2735.1817215181204</v>
      </c>
      <c r="I140" s="540">
        <f t="shared" si="58"/>
        <v>2735.1817215181204</v>
      </c>
      <c r="J140" s="476">
        <f t="shared" si="59"/>
        <v>0</v>
      </c>
      <c r="K140" s="476"/>
      <c r="L140" s="485"/>
      <c r="M140" s="476">
        <f t="shared" si="60"/>
        <v>0</v>
      </c>
      <c r="N140" s="485"/>
      <c r="O140" s="476">
        <f t="shared" si="61"/>
        <v>0</v>
      </c>
      <c r="P140" s="476">
        <f t="shared" si="62"/>
        <v>0</v>
      </c>
    </row>
    <row r="141" spans="2:16">
      <c r="B141" s="160" t="str">
        <f t="shared" si="39"/>
        <v/>
      </c>
      <c r="C141" s="470">
        <f>IF(D93="","-",+C140+1)</f>
        <v>2052</v>
      </c>
      <c r="D141" s="345">
        <f>IF(F140+SUM(E$99:E140)=D$92,F140,D$92-SUM(E$99:E140))</f>
        <v>2163.5</v>
      </c>
      <c r="E141" s="484">
        <f>IF(+J96&lt;F140,J96,D141)</f>
        <v>2163.5</v>
      </c>
      <c r="F141" s="483">
        <f t="shared" si="55"/>
        <v>0</v>
      </c>
      <c r="G141" s="483">
        <f t="shared" si="56"/>
        <v>1081.75</v>
      </c>
      <c r="H141" s="486">
        <f t="shared" si="57"/>
        <v>2286.595353861786</v>
      </c>
      <c r="I141" s="540">
        <f t="shared" si="58"/>
        <v>2286.595353861786</v>
      </c>
      <c r="J141" s="476">
        <f t="shared" si="59"/>
        <v>0</v>
      </c>
      <c r="K141" s="476"/>
      <c r="L141" s="485"/>
      <c r="M141" s="476">
        <f t="shared" si="60"/>
        <v>0</v>
      </c>
      <c r="N141" s="485"/>
      <c r="O141" s="476">
        <f t="shared" si="61"/>
        <v>0</v>
      </c>
      <c r="P141" s="476">
        <f t="shared" si="62"/>
        <v>0</v>
      </c>
    </row>
    <row r="142" spans="2:16">
      <c r="B142" s="160" t="str">
        <f t="shared" si="39"/>
        <v/>
      </c>
      <c r="C142" s="470">
        <f>IF(D93="","-",+C141+1)</f>
        <v>2053</v>
      </c>
      <c r="D142" s="345">
        <f>IF(F141+SUM(E$99:E141)=D$92,F141,D$92-SUM(E$99:E141))</f>
        <v>0</v>
      </c>
      <c r="E142" s="484">
        <f>IF(+J96&lt;F141,J96,D142)</f>
        <v>0</v>
      </c>
      <c r="F142" s="483">
        <f t="shared" si="55"/>
        <v>0</v>
      </c>
      <c r="G142" s="483">
        <f t="shared" si="56"/>
        <v>0</v>
      </c>
      <c r="H142" s="486">
        <f t="shared" si="57"/>
        <v>0</v>
      </c>
      <c r="I142" s="540">
        <f t="shared" si="58"/>
        <v>0</v>
      </c>
      <c r="J142" s="476">
        <f t="shared" si="59"/>
        <v>0</v>
      </c>
      <c r="K142" s="476"/>
      <c r="L142" s="485"/>
      <c r="M142" s="476">
        <f t="shared" si="60"/>
        <v>0</v>
      </c>
      <c r="N142" s="485"/>
      <c r="O142" s="476">
        <f t="shared" si="61"/>
        <v>0</v>
      </c>
      <c r="P142" s="476">
        <f t="shared" si="62"/>
        <v>0</v>
      </c>
    </row>
    <row r="143" spans="2:16">
      <c r="B143" s="160" t="str">
        <f t="shared" si="39"/>
        <v/>
      </c>
      <c r="C143" s="470">
        <f>IF(D93="","-",+C142+1)</f>
        <v>2054</v>
      </c>
      <c r="D143" s="345">
        <f>IF(F142+SUM(E$99:E142)=D$92,F142,D$92-SUM(E$99:E142))</f>
        <v>0</v>
      </c>
      <c r="E143" s="484">
        <f>IF(+J96&lt;F142,J96,D143)</f>
        <v>0</v>
      </c>
      <c r="F143" s="483">
        <f t="shared" si="55"/>
        <v>0</v>
      </c>
      <c r="G143" s="483">
        <f t="shared" si="56"/>
        <v>0</v>
      </c>
      <c r="H143" s="486">
        <f t="shared" si="57"/>
        <v>0</v>
      </c>
      <c r="I143" s="540">
        <f t="shared" si="58"/>
        <v>0</v>
      </c>
      <c r="J143" s="476">
        <f t="shared" si="59"/>
        <v>0</v>
      </c>
      <c r="K143" s="476"/>
      <c r="L143" s="485"/>
      <c r="M143" s="476">
        <f t="shared" si="60"/>
        <v>0</v>
      </c>
      <c r="N143" s="485"/>
      <c r="O143" s="476">
        <f t="shared" si="61"/>
        <v>0</v>
      </c>
      <c r="P143" s="476">
        <f t="shared" si="62"/>
        <v>0</v>
      </c>
    </row>
    <row r="144" spans="2:16">
      <c r="B144" s="160" t="str">
        <f t="shared" si="39"/>
        <v/>
      </c>
      <c r="C144" s="470">
        <f>IF(D93="","-",+C143+1)</f>
        <v>2055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55"/>
        <v>0</v>
      </c>
      <c r="G144" s="483">
        <f t="shared" si="56"/>
        <v>0</v>
      </c>
      <c r="H144" s="486">
        <f t="shared" si="57"/>
        <v>0</v>
      </c>
      <c r="I144" s="540">
        <f t="shared" si="58"/>
        <v>0</v>
      </c>
      <c r="J144" s="476">
        <f t="shared" si="59"/>
        <v>0</v>
      </c>
      <c r="K144" s="476"/>
      <c r="L144" s="485"/>
      <c r="M144" s="476">
        <f t="shared" si="60"/>
        <v>0</v>
      </c>
      <c r="N144" s="485"/>
      <c r="O144" s="476">
        <f t="shared" si="61"/>
        <v>0</v>
      </c>
      <c r="P144" s="476">
        <f t="shared" si="62"/>
        <v>0</v>
      </c>
    </row>
    <row r="145" spans="2:16">
      <c r="B145" s="160" t="str">
        <f t="shared" si="39"/>
        <v/>
      </c>
      <c r="C145" s="470">
        <f>IF(D93="","-",+C144+1)</f>
        <v>2056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55"/>
        <v>0</v>
      </c>
      <c r="G145" s="483">
        <f t="shared" si="56"/>
        <v>0</v>
      </c>
      <c r="H145" s="486">
        <f t="shared" si="57"/>
        <v>0</v>
      </c>
      <c r="I145" s="540">
        <f t="shared" si="58"/>
        <v>0</v>
      </c>
      <c r="J145" s="476">
        <f t="shared" si="59"/>
        <v>0</v>
      </c>
      <c r="K145" s="476"/>
      <c r="L145" s="485"/>
      <c r="M145" s="476">
        <f t="shared" si="60"/>
        <v>0</v>
      </c>
      <c r="N145" s="485"/>
      <c r="O145" s="476">
        <f t="shared" si="61"/>
        <v>0</v>
      </c>
      <c r="P145" s="476">
        <f t="shared" si="62"/>
        <v>0</v>
      </c>
    </row>
    <row r="146" spans="2:16">
      <c r="B146" s="160" t="str">
        <f t="shared" si="39"/>
        <v/>
      </c>
      <c r="C146" s="470">
        <f>IF(D93="","-",+C145+1)</f>
        <v>2057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ref="F146:F154" si="63">+D146-E146</f>
        <v>0</v>
      </c>
      <c r="G146" s="483">
        <f t="shared" ref="G146:G154" si="64">+(F146+D146)/2</f>
        <v>0</v>
      </c>
      <c r="H146" s="486">
        <f t="shared" si="57"/>
        <v>0</v>
      </c>
      <c r="I146" s="540">
        <f t="shared" si="58"/>
        <v>0</v>
      </c>
      <c r="J146" s="476">
        <f t="shared" si="59"/>
        <v>0</v>
      </c>
      <c r="K146" s="476"/>
      <c r="L146" s="485"/>
      <c r="M146" s="476">
        <f t="shared" si="60"/>
        <v>0</v>
      </c>
      <c r="N146" s="485"/>
      <c r="O146" s="476">
        <f t="shared" si="61"/>
        <v>0</v>
      </c>
      <c r="P146" s="476">
        <f t="shared" si="62"/>
        <v>0</v>
      </c>
    </row>
    <row r="147" spans="2:16">
      <c r="B147" s="160" t="str">
        <f t="shared" si="39"/>
        <v/>
      </c>
      <c r="C147" s="470">
        <f>IF(D93="","-",+C146+1)</f>
        <v>2058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63"/>
        <v>0</v>
      </c>
      <c r="G147" s="483">
        <f t="shared" si="64"/>
        <v>0</v>
      </c>
      <c r="H147" s="486">
        <f t="shared" si="57"/>
        <v>0</v>
      </c>
      <c r="I147" s="540">
        <f t="shared" si="58"/>
        <v>0</v>
      </c>
      <c r="J147" s="476">
        <f t="shared" si="59"/>
        <v>0</v>
      </c>
      <c r="K147" s="476"/>
      <c r="L147" s="485"/>
      <c r="M147" s="476">
        <f t="shared" si="60"/>
        <v>0</v>
      </c>
      <c r="N147" s="485"/>
      <c r="O147" s="476">
        <f t="shared" si="61"/>
        <v>0</v>
      </c>
      <c r="P147" s="476">
        <f t="shared" si="62"/>
        <v>0</v>
      </c>
    </row>
    <row r="148" spans="2:16">
      <c r="B148" s="160" t="str">
        <f t="shared" si="39"/>
        <v/>
      </c>
      <c r="C148" s="470">
        <f>IF(D93="","-",+C147+1)</f>
        <v>2059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63"/>
        <v>0</v>
      </c>
      <c r="G148" s="483">
        <f t="shared" si="64"/>
        <v>0</v>
      </c>
      <c r="H148" s="486">
        <f t="shared" si="57"/>
        <v>0</v>
      </c>
      <c r="I148" s="540">
        <f t="shared" si="58"/>
        <v>0</v>
      </c>
      <c r="J148" s="476">
        <f t="shared" si="59"/>
        <v>0</v>
      </c>
      <c r="K148" s="476"/>
      <c r="L148" s="485"/>
      <c r="M148" s="476">
        <f t="shared" si="60"/>
        <v>0</v>
      </c>
      <c r="N148" s="485"/>
      <c r="O148" s="476">
        <f t="shared" si="61"/>
        <v>0</v>
      </c>
      <c r="P148" s="476">
        <f t="shared" si="62"/>
        <v>0</v>
      </c>
    </row>
    <row r="149" spans="2:16">
      <c r="B149" s="160" t="str">
        <f t="shared" si="39"/>
        <v/>
      </c>
      <c r="C149" s="470">
        <f>IF(D93="","-",+C148+1)</f>
        <v>2060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63"/>
        <v>0</v>
      </c>
      <c r="G149" s="483">
        <f t="shared" si="64"/>
        <v>0</v>
      </c>
      <c r="H149" s="486">
        <f t="shared" si="57"/>
        <v>0</v>
      </c>
      <c r="I149" s="540">
        <f t="shared" si="58"/>
        <v>0</v>
      </c>
      <c r="J149" s="476">
        <f t="shared" si="59"/>
        <v>0</v>
      </c>
      <c r="K149" s="476"/>
      <c r="L149" s="485"/>
      <c r="M149" s="476">
        <f t="shared" si="60"/>
        <v>0</v>
      </c>
      <c r="N149" s="485"/>
      <c r="O149" s="476">
        <f t="shared" si="61"/>
        <v>0</v>
      </c>
      <c r="P149" s="476">
        <f t="shared" si="62"/>
        <v>0</v>
      </c>
    </row>
    <row r="150" spans="2:16">
      <c r="B150" s="160" t="str">
        <f t="shared" si="39"/>
        <v/>
      </c>
      <c r="C150" s="470">
        <f>IF(D93="","-",+C149+1)</f>
        <v>2061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63"/>
        <v>0</v>
      </c>
      <c r="G150" s="483">
        <f t="shared" si="64"/>
        <v>0</v>
      </c>
      <c r="H150" s="486">
        <f t="shared" si="57"/>
        <v>0</v>
      </c>
      <c r="I150" s="540">
        <f t="shared" si="58"/>
        <v>0</v>
      </c>
      <c r="J150" s="476">
        <f t="shared" si="59"/>
        <v>0</v>
      </c>
      <c r="K150" s="476"/>
      <c r="L150" s="485"/>
      <c r="M150" s="476">
        <f t="shared" si="60"/>
        <v>0</v>
      </c>
      <c r="N150" s="485"/>
      <c r="O150" s="476">
        <f t="shared" si="61"/>
        <v>0</v>
      </c>
      <c r="P150" s="476">
        <f t="shared" si="62"/>
        <v>0</v>
      </c>
    </row>
    <row r="151" spans="2:16">
      <c r="B151" s="160" t="str">
        <f t="shared" si="39"/>
        <v/>
      </c>
      <c r="C151" s="470">
        <f>IF(D93="","-",+C150+1)</f>
        <v>2062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63"/>
        <v>0</v>
      </c>
      <c r="G151" s="483">
        <f t="shared" si="64"/>
        <v>0</v>
      </c>
      <c r="H151" s="486">
        <f t="shared" si="57"/>
        <v>0</v>
      </c>
      <c r="I151" s="540">
        <f t="shared" si="58"/>
        <v>0</v>
      </c>
      <c r="J151" s="476">
        <f t="shared" si="59"/>
        <v>0</v>
      </c>
      <c r="K151" s="476"/>
      <c r="L151" s="485"/>
      <c r="M151" s="476">
        <f t="shared" si="60"/>
        <v>0</v>
      </c>
      <c r="N151" s="485"/>
      <c r="O151" s="476">
        <f t="shared" si="61"/>
        <v>0</v>
      </c>
      <c r="P151" s="476">
        <f t="shared" si="62"/>
        <v>0</v>
      </c>
    </row>
    <row r="152" spans="2:16">
      <c r="B152" s="160" t="str">
        <f t="shared" si="39"/>
        <v/>
      </c>
      <c r="C152" s="470">
        <f>IF(D93="","-",+C151+1)</f>
        <v>2063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63"/>
        <v>0</v>
      </c>
      <c r="G152" s="483">
        <f t="shared" si="64"/>
        <v>0</v>
      </c>
      <c r="H152" s="486">
        <f t="shared" si="57"/>
        <v>0</v>
      </c>
      <c r="I152" s="540">
        <f t="shared" si="58"/>
        <v>0</v>
      </c>
      <c r="J152" s="476">
        <f t="shared" si="59"/>
        <v>0</v>
      </c>
      <c r="K152" s="476"/>
      <c r="L152" s="485"/>
      <c r="M152" s="476">
        <f t="shared" si="60"/>
        <v>0</v>
      </c>
      <c r="N152" s="485"/>
      <c r="O152" s="476">
        <f t="shared" si="61"/>
        <v>0</v>
      </c>
      <c r="P152" s="476">
        <f t="shared" si="62"/>
        <v>0</v>
      </c>
    </row>
    <row r="153" spans="2:16">
      <c r="B153" s="160" t="str">
        <f t="shared" si="39"/>
        <v/>
      </c>
      <c r="C153" s="470">
        <f>IF(D93="","-",+C152+1)</f>
        <v>2064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63"/>
        <v>0</v>
      </c>
      <c r="G153" s="483">
        <f t="shared" si="64"/>
        <v>0</v>
      </c>
      <c r="H153" s="486">
        <f t="shared" si="57"/>
        <v>0</v>
      </c>
      <c r="I153" s="540">
        <f t="shared" si="58"/>
        <v>0</v>
      </c>
      <c r="J153" s="476">
        <f t="shared" si="59"/>
        <v>0</v>
      </c>
      <c r="K153" s="476"/>
      <c r="L153" s="485"/>
      <c r="M153" s="476">
        <f t="shared" si="60"/>
        <v>0</v>
      </c>
      <c r="N153" s="485"/>
      <c r="O153" s="476">
        <f t="shared" si="61"/>
        <v>0</v>
      </c>
      <c r="P153" s="476">
        <f t="shared" si="62"/>
        <v>0</v>
      </c>
    </row>
    <row r="154" spans="2:16" ht="13.5" thickBot="1">
      <c r="B154" s="160" t="str">
        <f t="shared" si="39"/>
        <v/>
      </c>
      <c r="C154" s="487">
        <f>IF(D93="","-",+C153+1)</f>
        <v>2065</v>
      </c>
      <c r="D154" s="541">
        <f>IF(F153+SUM(E$99:E153)=D$92,F153,D$92-SUM(E$99:E153))</f>
        <v>0</v>
      </c>
      <c r="E154" s="542">
        <f>IF(+J96&lt;F153,J96,D154)</f>
        <v>0</v>
      </c>
      <c r="F154" s="488">
        <f t="shared" si="63"/>
        <v>0</v>
      </c>
      <c r="G154" s="488">
        <f t="shared" si="64"/>
        <v>0</v>
      </c>
      <c r="H154" s="490">
        <f t="shared" si="57"/>
        <v>0</v>
      </c>
      <c r="I154" s="543">
        <f t="shared" si="58"/>
        <v>0</v>
      </c>
      <c r="J154" s="493">
        <f t="shared" si="59"/>
        <v>0</v>
      </c>
      <c r="K154" s="476"/>
      <c r="L154" s="492"/>
      <c r="M154" s="493">
        <f t="shared" si="60"/>
        <v>0</v>
      </c>
      <c r="N154" s="492"/>
      <c r="O154" s="493">
        <f t="shared" si="61"/>
        <v>0</v>
      </c>
      <c r="P154" s="493">
        <f t="shared" si="62"/>
        <v>0</v>
      </c>
    </row>
    <row r="155" spans="2:16">
      <c r="C155" s="345" t="s">
        <v>77</v>
      </c>
      <c r="D155" s="346"/>
      <c r="E155" s="346">
        <f>SUM(E99:E154)</f>
        <v>96566</v>
      </c>
      <c r="F155" s="346"/>
      <c r="G155" s="346"/>
      <c r="H155" s="346">
        <f>SUM(H99:H154)</f>
        <v>351458.38182798127</v>
      </c>
      <c r="I155" s="346">
        <f>SUM(I99:I154)</f>
        <v>351458.38182798127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52" priority="1" stopIfTrue="1" operator="equal">
      <formula>$I$10</formula>
    </cfRule>
  </conditionalFormatting>
  <conditionalFormatting sqref="C99:C154">
    <cfRule type="cellIs" dxfId="51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1">
    <tabColor rgb="FF92D050"/>
  </sheetPr>
  <dimension ref="A1:P162"/>
  <sheetViews>
    <sheetView topLeftCell="A92" zoomScaleNormal="100" zoomScaleSheetLayoutView="75" workbookViewId="0">
      <selection activeCell="V52" sqref="V5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3" width="17.7109375" style="148" customWidth="1"/>
    <col min="14" max="14" width="16.7109375" style="148" customWidth="1"/>
    <col min="15" max="15" width="18.4257812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11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6.5" thickBot="1">
      <c r="C4" s="567" t="s">
        <v>263</v>
      </c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148587.99</v>
      </c>
      <c r="P5" s="231"/>
    </row>
    <row r="6" spans="1:16" ht="15.75">
      <c r="C6" s="568" t="s">
        <v>264</v>
      </c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148587.99</v>
      </c>
      <c r="O6" s="231"/>
      <c r="P6" s="231"/>
    </row>
    <row r="7" spans="1:16" ht="13.5" thickBot="1">
      <c r="C7" s="429" t="s">
        <v>46</v>
      </c>
      <c r="D7" s="430" t="s">
        <v>229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5.75" thickBot="1">
      <c r="C8" s="569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570" t="s">
        <v>228</v>
      </c>
      <c r="E9" s="575" t="s">
        <v>344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1404099.6199999999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2011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6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36949.99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2011</v>
      </c>
      <c r="D17" s="471">
        <v>1624000</v>
      </c>
      <c r="E17" s="472">
        <v>15921.568627450981</v>
      </c>
      <c r="F17" s="471">
        <v>1608078.4313725489</v>
      </c>
      <c r="G17" s="472">
        <v>267655.54041850357</v>
      </c>
      <c r="H17" s="479">
        <v>267655.54041850357</v>
      </c>
      <c r="I17" s="473">
        <f>H17-G17</f>
        <v>0</v>
      </c>
      <c r="J17" s="473"/>
      <c r="K17" s="552">
        <f t="shared" ref="K17:K22" si="0">G17</f>
        <v>267655.54041850357</v>
      </c>
      <c r="L17" s="560">
        <f t="shared" ref="L17:L48" si="1">IF(K17&lt;&gt;0,+G17-K17,0)</f>
        <v>0</v>
      </c>
      <c r="M17" s="552">
        <f t="shared" ref="M17:M22" si="2">H17</f>
        <v>267655.54041850357</v>
      </c>
      <c r="N17" s="475">
        <f t="shared" ref="N17:N48" si="3">IF(M17&lt;&gt;0,+H17-M17,0)</f>
        <v>0</v>
      </c>
      <c r="O17" s="476">
        <f t="shared" ref="O17:O48" si="4">+N17-L17</f>
        <v>0</v>
      </c>
      <c r="P17" s="241"/>
    </row>
    <row r="18" spans="2:16">
      <c r="B18" s="160" t="str">
        <f t="shared" ref="B18:B49" si="5">IF(D18=F17,"","IU")</f>
        <v>IU</v>
      </c>
      <c r="C18" s="470">
        <f>IF(D11="","-",+C17+1)</f>
        <v>2012</v>
      </c>
      <c r="D18" s="477">
        <v>1420815.4313725489</v>
      </c>
      <c r="E18" s="478">
        <v>27629.557692307691</v>
      </c>
      <c r="F18" s="477">
        <v>1393185.8736802412</v>
      </c>
      <c r="G18" s="478">
        <v>221570.55769230769</v>
      </c>
      <c r="H18" s="479">
        <v>221570.55769230769</v>
      </c>
      <c r="I18" s="473">
        <f t="shared" ref="I18:I48" si="6">H18-G18</f>
        <v>0</v>
      </c>
      <c r="J18" s="473"/>
      <c r="K18" s="474">
        <f t="shared" si="0"/>
        <v>221570.55769230769</v>
      </c>
      <c r="L18" s="548">
        <f t="shared" si="1"/>
        <v>0</v>
      </c>
      <c r="M18" s="474">
        <f t="shared" si="2"/>
        <v>221570.55769230769</v>
      </c>
      <c r="N18" s="476">
        <f t="shared" si="3"/>
        <v>0</v>
      </c>
      <c r="O18" s="476">
        <f t="shared" si="4"/>
        <v>0</v>
      </c>
      <c r="P18" s="241"/>
    </row>
    <row r="19" spans="2:16">
      <c r="B19" s="160" t="str">
        <f t="shared" si="5"/>
        <v>IU</v>
      </c>
      <c r="C19" s="470">
        <f>IF(D11="","-",+C18+1)</f>
        <v>2013</v>
      </c>
      <c r="D19" s="477">
        <v>1450171.8736802414</v>
      </c>
      <c r="E19" s="478">
        <v>28725.442307692309</v>
      </c>
      <c r="F19" s="477">
        <v>1421446.4313725492</v>
      </c>
      <c r="G19" s="478">
        <v>231717.44230769231</v>
      </c>
      <c r="H19" s="479">
        <v>231717.44230769231</v>
      </c>
      <c r="I19" s="473">
        <v>0</v>
      </c>
      <c r="J19" s="473"/>
      <c r="K19" s="474">
        <f t="shared" si="0"/>
        <v>231717.44230769231</v>
      </c>
      <c r="L19" s="548">
        <f t="shared" ref="L19:L24" si="7">IF(K19&lt;&gt;0,+G19-K19,0)</f>
        <v>0</v>
      </c>
      <c r="M19" s="474">
        <f t="shared" si="2"/>
        <v>231717.44230769231</v>
      </c>
      <c r="N19" s="476">
        <f t="shared" ref="N19:N24" si="8">IF(M19&lt;&gt;0,+H19-M19,0)</f>
        <v>0</v>
      </c>
      <c r="O19" s="476">
        <f t="shared" ref="O19:O24" si="9">+N19-L19</f>
        <v>0</v>
      </c>
      <c r="P19" s="241"/>
    </row>
    <row r="20" spans="2:16">
      <c r="B20" s="160" t="str">
        <f t="shared" si="5"/>
        <v>IU</v>
      </c>
      <c r="C20" s="470">
        <f>IF(D11="","-",+C19+1)</f>
        <v>2014</v>
      </c>
      <c r="D20" s="477">
        <v>1331823.0513725488</v>
      </c>
      <c r="E20" s="478">
        <v>27001.915769230767</v>
      </c>
      <c r="F20" s="477">
        <v>1304821.135603318</v>
      </c>
      <c r="G20" s="478">
        <v>206621.91576923078</v>
      </c>
      <c r="H20" s="479">
        <v>206621.91576923078</v>
      </c>
      <c r="I20" s="473">
        <v>0</v>
      </c>
      <c r="J20" s="473"/>
      <c r="K20" s="474">
        <f t="shared" si="0"/>
        <v>206621.91576923078</v>
      </c>
      <c r="L20" s="548">
        <f t="shared" si="7"/>
        <v>0</v>
      </c>
      <c r="M20" s="474">
        <f t="shared" si="2"/>
        <v>206621.91576923078</v>
      </c>
      <c r="N20" s="476">
        <f t="shared" si="8"/>
        <v>0</v>
      </c>
      <c r="O20" s="476">
        <f t="shared" si="9"/>
        <v>0</v>
      </c>
      <c r="P20" s="241"/>
    </row>
    <row r="21" spans="2:16">
      <c r="B21" s="160" t="str">
        <f t="shared" si="5"/>
        <v/>
      </c>
      <c r="C21" s="470">
        <f>IF(D11="","-",+C20+1)</f>
        <v>2015</v>
      </c>
      <c r="D21" s="477">
        <v>1304821.135603318</v>
      </c>
      <c r="E21" s="478">
        <v>27001.915769230767</v>
      </c>
      <c r="F21" s="477">
        <v>1277819.2198340872</v>
      </c>
      <c r="G21" s="478">
        <v>203176.91576923078</v>
      </c>
      <c r="H21" s="479">
        <v>203176.91576923078</v>
      </c>
      <c r="I21" s="473">
        <v>0</v>
      </c>
      <c r="J21" s="473"/>
      <c r="K21" s="474">
        <f t="shared" si="0"/>
        <v>203176.91576923078</v>
      </c>
      <c r="L21" s="548">
        <f t="shared" si="7"/>
        <v>0</v>
      </c>
      <c r="M21" s="474">
        <f t="shared" si="2"/>
        <v>203176.91576923078</v>
      </c>
      <c r="N21" s="476">
        <f t="shared" si="8"/>
        <v>0</v>
      </c>
      <c r="O21" s="476">
        <f t="shared" si="9"/>
        <v>0</v>
      </c>
      <c r="P21" s="241"/>
    </row>
    <row r="22" spans="2:16">
      <c r="B22" s="160" t="str">
        <f t="shared" si="5"/>
        <v/>
      </c>
      <c r="C22" s="470">
        <f>IF(D11="","-",+C21+1)</f>
        <v>2016</v>
      </c>
      <c r="D22" s="477">
        <v>1277819.2198340872</v>
      </c>
      <c r="E22" s="478">
        <v>27001.915769230767</v>
      </c>
      <c r="F22" s="477">
        <v>1250817.3040648564</v>
      </c>
      <c r="G22" s="478">
        <v>191058.91576923078</v>
      </c>
      <c r="H22" s="479">
        <v>191058.91576923078</v>
      </c>
      <c r="I22" s="473">
        <f t="shared" si="6"/>
        <v>0</v>
      </c>
      <c r="J22" s="473"/>
      <c r="K22" s="474">
        <f t="shared" si="0"/>
        <v>191058.91576923078</v>
      </c>
      <c r="L22" s="548">
        <f t="shared" si="7"/>
        <v>0</v>
      </c>
      <c r="M22" s="474">
        <f t="shared" si="2"/>
        <v>191058.91576923078</v>
      </c>
      <c r="N22" s="476">
        <f t="shared" si="8"/>
        <v>0</v>
      </c>
      <c r="O22" s="476">
        <f t="shared" si="9"/>
        <v>0</v>
      </c>
      <c r="P22" s="241"/>
    </row>
    <row r="23" spans="2:16">
      <c r="B23" s="160" t="str">
        <f t="shared" si="5"/>
        <v/>
      </c>
      <c r="C23" s="470">
        <f>IF(D11="","-",+C22+1)</f>
        <v>2017</v>
      </c>
      <c r="D23" s="477">
        <v>1250817.3040648564</v>
      </c>
      <c r="E23" s="478">
        <v>30523.904782608693</v>
      </c>
      <c r="F23" s="477">
        <v>1220293.3992822478</v>
      </c>
      <c r="G23" s="478">
        <v>185818.9047826087</v>
      </c>
      <c r="H23" s="479">
        <v>185818.9047826087</v>
      </c>
      <c r="I23" s="473">
        <f t="shared" si="6"/>
        <v>0</v>
      </c>
      <c r="J23" s="473"/>
      <c r="K23" s="474">
        <f t="shared" ref="K23:K28" si="10">G23</f>
        <v>185818.9047826087</v>
      </c>
      <c r="L23" s="548">
        <f t="shared" si="7"/>
        <v>0</v>
      </c>
      <c r="M23" s="474">
        <f t="shared" ref="M23:M28" si="11">H23</f>
        <v>185818.9047826087</v>
      </c>
      <c r="N23" s="476">
        <f t="shared" si="8"/>
        <v>0</v>
      </c>
      <c r="O23" s="476">
        <f t="shared" si="9"/>
        <v>0</v>
      </c>
      <c r="P23" s="241"/>
    </row>
    <row r="24" spans="2:16">
      <c r="B24" s="160" t="str">
        <f t="shared" si="5"/>
        <v/>
      </c>
      <c r="C24" s="470">
        <f>IF(D11="","-",+C23+1)</f>
        <v>2018</v>
      </c>
      <c r="D24" s="477">
        <v>1220293.3992822478</v>
      </c>
      <c r="E24" s="478">
        <v>31202.213777777775</v>
      </c>
      <c r="F24" s="477">
        <v>1189091.18550447</v>
      </c>
      <c r="G24" s="478">
        <v>175474.88659362236</v>
      </c>
      <c r="H24" s="479">
        <v>175474.88659362236</v>
      </c>
      <c r="I24" s="473">
        <f t="shared" si="6"/>
        <v>0</v>
      </c>
      <c r="J24" s="473"/>
      <c r="K24" s="474">
        <f t="shared" si="10"/>
        <v>175474.88659362236</v>
      </c>
      <c r="L24" s="548">
        <f t="shared" si="7"/>
        <v>0</v>
      </c>
      <c r="M24" s="474">
        <f t="shared" si="11"/>
        <v>175474.88659362236</v>
      </c>
      <c r="N24" s="476">
        <f t="shared" si="8"/>
        <v>0</v>
      </c>
      <c r="O24" s="476">
        <f t="shared" si="9"/>
        <v>0</v>
      </c>
      <c r="P24" s="241"/>
    </row>
    <row r="25" spans="2:16">
      <c r="B25" s="160" t="str">
        <f t="shared" si="5"/>
        <v/>
      </c>
      <c r="C25" s="470">
        <f>IF(D11="","-",+C24+1)</f>
        <v>2019</v>
      </c>
      <c r="D25" s="477">
        <v>1189091.18550447</v>
      </c>
      <c r="E25" s="478">
        <v>35102.4905</v>
      </c>
      <c r="F25" s="477">
        <v>1153988.6950044699</v>
      </c>
      <c r="G25" s="478">
        <v>165912.69365934882</v>
      </c>
      <c r="H25" s="479">
        <v>165912.69365934882</v>
      </c>
      <c r="I25" s="473">
        <f t="shared" si="6"/>
        <v>0</v>
      </c>
      <c r="J25" s="473"/>
      <c r="K25" s="474">
        <f t="shared" si="10"/>
        <v>165912.69365934882</v>
      </c>
      <c r="L25" s="548">
        <f t="shared" ref="L25" si="12">IF(K25&lt;&gt;0,+G25-K25,0)</f>
        <v>0</v>
      </c>
      <c r="M25" s="474">
        <f t="shared" si="11"/>
        <v>165912.69365934882</v>
      </c>
      <c r="N25" s="476">
        <f t="shared" ref="N25" si="13">IF(M25&lt;&gt;0,+H25-M25,0)</f>
        <v>0</v>
      </c>
      <c r="O25" s="476">
        <f t="shared" ref="O25" si="14">+N25-L25</f>
        <v>0</v>
      </c>
      <c r="P25" s="241"/>
    </row>
    <row r="26" spans="2:16">
      <c r="B26" s="160" t="str">
        <f t="shared" si="5"/>
        <v>IU</v>
      </c>
      <c r="C26" s="470">
        <f>IF(D11="","-",+C25+1)</f>
        <v>2020</v>
      </c>
      <c r="D26" s="477">
        <v>1157888.9717266923</v>
      </c>
      <c r="E26" s="478">
        <v>33430.943333333329</v>
      </c>
      <c r="F26" s="477">
        <v>1124458.0283933589</v>
      </c>
      <c r="G26" s="478">
        <v>156683.13262286683</v>
      </c>
      <c r="H26" s="479">
        <v>156683.13262286683</v>
      </c>
      <c r="I26" s="473">
        <f t="shared" si="6"/>
        <v>0</v>
      </c>
      <c r="J26" s="473"/>
      <c r="K26" s="474">
        <f t="shared" si="10"/>
        <v>156683.13262286683</v>
      </c>
      <c r="L26" s="548">
        <f t="shared" ref="L26" si="15">IF(K26&lt;&gt;0,+G26-K26,0)</f>
        <v>0</v>
      </c>
      <c r="M26" s="474">
        <f t="shared" si="11"/>
        <v>156683.13262286683</v>
      </c>
      <c r="N26" s="476">
        <f t="shared" si="3"/>
        <v>0</v>
      </c>
      <c r="O26" s="476">
        <f t="shared" si="4"/>
        <v>0</v>
      </c>
      <c r="P26" s="241"/>
    </row>
    <row r="27" spans="2:16">
      <c r="B27" s="160" t="str">
        <f t="shared" si="5"/>
        <v>IU</v>
      </c>
      <c r="C27" s="470">
        <f>IF(D11="","-",+C26+1)</f>
        <v>2021</v>
      </c>
      <c r="D27" s="477">
        <v>1120557.7516711368</v>
      </c>
      <c r="E27" s="478">
        <v>32653.479534883718</v>
      </c>
      <c r="F27" s="477">
        <v>1087904.2721362531</v>
      </c>
      <c r="G27" s="478">
        <v>149953.47953488372</v>
      </c>
      <c r="H27" s="479">
        <v>149953.47953488372</v>
      </c>
      <c r="I27" s="473">
        <f t="shared" si="6"/>
        <v>0</v>
      </c>
      <c r="J27" s="473"/>
      <c r="K27" s="474">
        <f t="shared" si="10"/>
        <v>149953.47953488372</v>
      </c>
      <c r="L27" s="548">
        <f t="shared" ref="L27" si="16">IF(K27&lt;&gt;0,+G27-K27,0)</f>
        <v>0</v>
      </c>
      <c r="M27" s="474">
        <f t="shared" si="11"/>
        <v>149953.47953488372</v>
      </c>
      <c r="N27" s="476">
        <f t="shared" si="3"/>
        <v>0</v>
      </c>
      <c r="O27" s="476">
        <f t="shared" si="4"/>
        <v>0</v>
      </c>
      <c r="P27" s="241"/>
    </row>
    <row r="28" spans="2:16">
      <c r="B28" s="160" t="str">
        <f t="shared" si="5"/>
        <v/>
      </c>
      <c r="C28" s="470">
        <f>IF(D11="","-",+C27+1)</f>
        <v>2022</v>
      </c>
      <c r="D28" s="477">
        <v>1087904.2721362531</v>
      </c>
      <c r="E28" s="478">
        <v>33430.943333333329</v>
      </c>
      <c r="F28" s="477">
        <v>1054473.3288029197</v>
      </c>
      <c r="G28" s="478">
        <v>147114.94333333333</v>
      </c>
      <c r="H28" s="479">
        <v>147114.94333333333</v>
      </c>
      <c r="I28" s="473">
        <f t="shared" si="6"/>
        <v>0</v>
      </c>
      <c r="J28" s="473"/>
      <c r="K28" s="474">
        <f t="shared" si="10"/>
        <v>147114.94333333333</v>
      </c>
      <c r="L28" s="548">
        <f t="shared" ref="L28" si="17">IF(K28&lt;&gt;0,+G28-K28,0)</f>
        <v>0</v>
      </c>
      <c r="M28" s="474">
        <f t="shared" si="11"/>
        <v>147114.94333333333</v>
      </c>
      <c r="N28" s="476">
        <f t="shared" si="3"/>
        <v>0</v>
      </c>
      <c r="O28" s="476">
        <f t="shared" si="4"/>
        <v>0</v>
      </c>
      <c r="P28" s="241"/>
    </row>
    <row r="29" spans="2:16">
      <c r="B29" s="160" t="str">
        <f t="shared" si="5"/>
        <v/>
      </c>
      <c r="C29" s="470">
        <f>IF(D11="","-",+C28+1)</f>
        <v>2023</v>
      </c>
      <c r="D29" s="477">
        <v>1054473.3288029197</v>
      </c>
      <c r="E29" s="478">
        <v>36002.554358974354</v>
      </c>
      <c r="F29" s="477">
        <v>1018470.7744439454</v>
      </c>
      <c r="G29" s="478">
        <v>157566.55435897436</v>
      </c>
      <c r="H29" s="479">
        <v>157566.55435897436</v>
      </c>
      <c r="I29" s="473">
        <f t="shared" si="6"/>
        <v>0</v>
      </c>
      <c r="J29" s="473"/>
      <c r="K29" s="474">
        <f t="shared" ref="K29" si="18">G29</f>
        <v>157566.55435897436</v>
      </c>
      <c r="L29" s="548">
        <f t="shared" ref="L29" si="19">IF(K29&lt;&gt;0,+G29-K29,0)</f>
        <v>0</v>
      </c>
      <c r="M29" s="474">
        <f t="shared" ref="M29" si="20">H29</f>
        <v>157566.55435897436</v>
      </c>
      <c r="N29" s="476">
        <f t="shared" ref="N29" si="21">IF(M29&lt;&gt;0,+H29-M29,0)</f>
        <v>0</v>
      </c>
      <c r="O29" s="476">
        <f t="shared" ref="O29" si="22">+N29-L29</f>
        <v>0</v>
      </c>
      <c r="P29" s="241"/>
    </row>
    <row r="30" spans="2:16">
      <c r="B30" s="160" t="str">
        <f t="shared" si="5"/>
        <v/>
      </c>
      <c r="C30" s="631">
        <f>IF(D11="","-",+C29+1)</f>
        <v>2024</v>
      </c>
      <c r="D30" s="483">
        <f>IF(F29+SUM(E$17:E29)=D$10,F29,D$10-SUM(E$17:E29))</f>
        <v>1018470.7744439454</v>
      </c>
      <c r="E30" s="482">
        <f>IF(+I14&lt;F29,I14,D30)</f>
        <v>36949.99</v>
      </c>
      <c r="F30" s="483">
        <f t="shared" ref="F30:F49" si="23">+D30-E30</f>
        <v>981520.78444394539</v>
      </c>
      <c r="G30" s="484">
        <f t="shared" ref="G30:G49" si="24">ROUND(I$12*F30,0)+E30</f>
        <v>148587.99</v>
      </c>
      <c r="H30" s="453">
        <f t="shared" ref="H30:H49" si="25">ROUND(I$13*F30,0)+E30</f>
        <v>148587.99</v>
      </c>
      <c r="I30" s="473">
        <f t="shared" si="6"/>
        <v>0</v>
      </c>
      <c r="J30" s="473"/>
      <c r="K30" s="485"/>
      <c r="L30" s="476">
        <f t="shared" si="1"/>
        <v>0</v>
      </c>
      <c r="M30" s="485"/>
      <c r="N30" s="476">
        <f t="shared" si="3"/>
        <v>0</v>
      </c>
      <c r="O30" s="476">
        <f t="shared" si="4"/>
        <v>0</v>
      </c>
      <c r="P30" s="241"/>
    </row>
    <row r="31" spans="2:16">
      <c r="B31" s="160" t="str">
        <f t="shared" si="5"/>
        <v/>
      </c>
      <c r="C31" s="470">
        <f>IF(D11="","-",+C30+1)</f>
        <v>2025</v>
      </c>
      <c r="D31" s="483">
        <f>IF(F30+SUM(E$17:E30)=D$10,F30,D$10-SUM(E$17:E30))</f>
        <v>981520.78444394539</v>
      </c>
      <c r="E31" s="482">
        <f>IF(+I14&lt;F30,I14,D31)</f>
        <v>36949.99</v>
      </c>
      <c r="F31" s="483">
        <f t="shared" si="23"/>
        <v>944570.7944439454</v>
      </c>
      <c r="G31" s="484">
        <f t="shared" si="24"/>
        <v>144385.99</v>
      </c>
      <c r="H31" s="453">
        <f t="shared" si="25"/>
        <v>144385.99</v>
      </c>
      <c r="I31" s="473">
        <f t="shared" si="6"/>
        <v>0</v>
      </c>
      <c r="J31" s="473"/>
      <c r="K31" s="485"/>
      <c r="L31" s="476">
        <f t="shared" si="1"/>
        <v>0</v>
      </c>
      <c r="M31" s="485"/>
      <c r="N31" s="476">
        <f t="shared" si="3"/>
        <v>0</v>
      </c>
      <c r="O31" s="476">
        <f t="shared" si="4"/>
        <v>0</v>
      </c>
      <c r="P31" s="241"/>
    </row>
    <row r="32" spans="2:16">
      <c r="B32" s="160" t="str">
        <f t="shared" si="5"/>
        <v/>
      </c>
      <c r="C32" s="470">
        <f>IF(D11="","-",+C31+1)</f>
        <v>2026</v>
      </c>
      <c r="D32" s="483">
        <f>IF(F31+SUM(E$17:E31)=D$10,F31,D$10-SUM(E$17:E31))</f>
        <v>944570.7944439454</v>
      </c>
      <c r="E32" s="482">
        <f>IF(+I14&lt;F31,I14,D32)</f>
        <v>36949.99</v>
      </c>
      <c r="F32" s="483">
        <f t="shared" si="23"/>
        <v>907620.80444394541</v>
      </c>
      <c r="G32" s="484">
        <f t="shared" si="24"/>
        <v>140182.99</v>
      </c>
      <c r="H32" s="453">
        <f t="shared" si="25"/>
        <v>140182.99</v>
      </c>
      <c r="I32" s="473">
        <f t="shared" si="6"/>
        <v>0</v>
      </c>
      <c r="J32" s="473"/>
      <c r="K32" s="485"/>
      <c r="L32" s="476">
        <f t="shared" si="1"/>
        <v>0</v>
      </c>
      <c r="M32" s="485"/>
      <c r="N32" s="476">
        <f t="shared" si="3"/>
        <v>0</v>
      </c>
      <c r="O32" s="476">
        <f t="shared" si="4"/>
        <v>0</v>
      </c>
      <c r="P32" s="241"/>
    </row>
    <row r="33" spans="2:16">
      <c r="B33" s="160" t="str">
        <f t="shared" si="5"/>
        <v/>
      </c>
      <c r="C33" s="470">
        <f>IF(D11="","-",+C32+1)</f>
        <v>2027</v>
      </c>
      <c r="D33" s="483">
        <f>IF(F32+SUM(E$17:E32)=D$10,F32,D$10-SUM(E$17:E32))</f>
        <v>907620.80444394541</v>
      </c>
      <c r="E33" s="482">
        <f>IF(+I14&lt;F32,I14,D33)</f>
        <v>36949.99</v>
      </c>
      <c r="F33" s="483">
        <f t="shared" si="23"/>
        <v>870670.81444394542</v>
      </c>
      <c r="G33" s="484">
        <f t="shared" si="24"/>
        <v>135979.99</v>
      </c>
      <c r="H33" s="453">
        <f t="shared" si="25"/>
        <v>135979.99</v>
      </c>
      <c r="I33" s="473">
        <f t="shared" si="6"/>
        <v>0</v>
      </c>
      <c r="J33" s="473"/>
      <c r="K33" s="485"/>
      <c r="L33" s="476">
        <f t="shared" si="1"/>
        <v>0</v>
      </c>
      <c r="M33" s="485"/>
      <c r="N33" s="476">
        <f t="shared" si="3"/>
        <v>0</v>
      </c>
      <c r="O33" s="476">
        <f t="shared" si="4"/>
        <v>0</v>
      </c>
      <c r="P33" s="241"/>
    </row>
    <row r="34" spans="2:16">
      <c r="B34" s="160" t="str">
        <f t="shared" si="5"/>
        <v/>
      </c>
      <c r="C34" s="470">
        <f>IF(D11="","-",+C33+1)</f>
        <v>2028</v>
      </c>
      <c r="D34" s="483">
        <f>IF(F33+SUM(E$17:E33)=D$10,F33,D$10-SUM(E$17:E33))</f>
        <v>870670.81444394542</v>
      </c>
      <c r="E34" s="482">
        <f>IF(+I14&lt;F33,I14,D34)</f>
        <v>36949.99</v>
      </c>
      <c r="F34" s="483">
        <f t="shared" si="23"/>
        <v>833720.82444394543</v>
      </c>
      <c r="G34" s="484">
        <f t="shared" si="24"/>
        <v>131777.99</v>
      </c>
      <c r="H34" s="453">
        <f t="shared" si="25"/>
        <v>131777.99</v>
      </c>
      <c r="I34" s="473">
        <f t="shared" si="6"/>
        <v>0</v>
      </c>
      <c r="J34" s="473"/>
      <c r="K34" s="485"/>
      <c r="L34" s="476">
        <f t="shared" si="1"/>
        <v>0</v>
      </c>
      <c r="M34" s="485"/>
      <c r="N34" s="476">
        <f t="shared" si="3"/>
        <v>0</v>
      </c>
      <c r="O34" s="476">
        <f t="shared" si="4"/>
        <v>0</v>
      </c>
      <c r="P34" s="241"/>
    </row>
    <row r="35" spans="2:16">
      <c r="B35" s="160" t="str">
        <f t="shared" si="5"/>
        <v/>
      </c>
      <c r="C35" s="470">
        <f>IF(D11="","-",+C34+1)</f>
        <v>2029</v>
      </c>
      <c r="D35" s="483">
        <f>IF(F34+SUM(E$17:E34)=D$10,F34,D$10-SUM(E$17:E34))</f>
        <v>833720.82444394543</v>
      </c>
      <c r="E35" s="482">
        <f>IF(+I14&lt;F34,I14,D35)</f>
        <v>36949.99</v>
      </c>
      <c r="F35" s="483">
        <f t="shared" si="23"/>
        <v>796770.83444394544</v>
      </c>
      <c r="G35" s="484">
        <f t="shared" si="24"/>
        <v>127574.98999999999</v>
      </c>
      <c r="H35" s="453">
        <f t="shared" si="25"/>
        <v>127574.98999999999</v>
      </c>
      <c r="I35" s="473">
        <f t="shared" si="6"/>
        <v>0</v>
      </c>
      <c r="J35" s="473"/>
      <c r="K35" s="485"/>
      <c r="L35" s="476">
        <f t="shared" si="1"/>
        <v>0</v>
      </c>
      <c r="M35" s="485"/>
      <c r="N35" s="476">
        <f t="shared" si="3"/>
        <v>0</v>
      </c>
      <c r="O35" s="476">
        <f t="shared" si="4"/>
        <v>0</v>
      </c>
      <c r="P35" s="241"/>
    </row>
    <row r="36" spans="2:16">
      <c r="B36" s="160" t="str">
        <f t="shared" si="5"/>
        <v/>
      </c>
      <c r="C36" s="470">
        <f>IF(D11="","-",+C35+1)</f>
        <v>2030</v>
      </c>
      <c r="D36" s="483">
        <f>IF(F35+SUM(E$17:E35)=D$10,F35,D$10-SUM(E$17:E35))</f>
        <v>796770.83444394544</v>
      </c>
      <c r="E36" s="482">
        <f>IF(+I14&lt;F35,I14,D36)</f>
        <v>36949.99</v>
      </c>
      <c r="F36" s="483">
        <f t="shared" si="23"/>
        <v>759820.84444394545</v>
      </c>
      <c r="G36" s="484">
        <f t="shared" si="24"/>
        <v>123371.98999999999</v>
      </c>
      <c r="H36" s="453">
        <f t="shared" si="25"/>
        <v>123371.98999999999</v>
      </c>
      <c r="I36" s="473">
        <f t="shared" si="6"/>
        <v>0</v>
      </c>
      <c r="J36" s="473"/>
      <c r="K36" s="485"/>
      <c r="L36" s="476">
        <f t="shared" si="1"/>
        <v>0</v>
      </c>
      <c r="M36" s="485"/>
      <c r="N36" s="476">
        <f t="shared" si="3"/>
        <v>0</v>
      </c>
      <c r="O36" s="476">
        <f t="shared" si="4"/>
        <v>0</v>
      </c>
      <c r="P36" s="241"/>
    </row>
    <row r="37" spans="2:16">
      <c r="B37" s="160" t="str">
        <f t="shared" si="5"/>
        <v/>
      </c>
      <c r="C37" s="470">
        <f>IF(D11="","-",+C36+1)</f>
        <v>2031</v>
      </c>
      <c r="D37" s="483">
        <f>IF(F36+SUM(E$17:E36)=D$10,F36,D$10-SUM(E$17:E36))</f>
        <v>759820.84444394545</v>
      </c>
      <c r="E37" s="482">
        <f>IF(+I14&lt;F36,I14,D37)</f>
        <v>36949.99</v>
      </c>
      <c r="F37" s="483">
        <f t="shared" si="23"/>
        <v>722870.85444394546</v>
      </c>
      <c r="G37" s="484">
        <f t="shared" si="24"/>
        <v>119168.98999999999</v>
      </c>
      <c r="H37" s="453">
        <f t="shared" si="25"/>
        <v>119168.98999999999</v>
      </c>
      <c r="I37" s="473">
        <f t="shared" si="6"/>
        <v>0</v>
      </c>
      <c r="J37" s="473"/>
      <c r="K37" s="485"/>
      <c r="L37" s="476">
        <f t="shared" si="1"/>
        <v>0</v>
      </c>
      <c r="M37" s="485"/>
      <c r="N37" s="476">
        <f t="shared" si="3"/>
        <v>0</v>
      </c>
      <c r="O37" s="476">
        <f t="shared" si="4"/>
        <v>0</v>
      </c>
      <c r="P37" s="241"/>
    </row>
    <row r="38" spans="2:16">
      <c r="B38" s="160" t="str">
        <f t="shared" si="5"/>
        <v/>
      </c>
      <c r="C38" s="470">
        <f>IF(D11="","-",+C37+1)</f>
        <v>2032</v>
      </c>
      <c r="D38" s="483">
        <f>IF(F37+SUM(E$17:E37)=D$10,F37,D$10-SUM(E$17:E37))</f>
        <v>722870.85444394546</v>
      </c>
      <c r="E38" s="482">
        <f>IF(+I14&lt;F37,I14,D38)</f>
        <v>36949.99</v>
      </c>
      <c r="F38" s="483">
        <f t="shared" si="23"/>
        <v>685920.86444394547</v>
      </c>
      <c r="G38" s="484">
        <f t="shared" si="24"/>
        <v>114966.98999999999</v>
      </c>
      <c r="H38" s="453">
        <f t="shared" si="25"/>
        <v>114966.98999999999</v>
      </c>
      <c r="I38" s="473">
        <f t="shared" si="6"/>
        <v>0</v>
      </c>
      <c r="J38" s="473"/>
      <c r="K38" s="485"/>
      <c r="L38" s="476">
        <f t="shared" si="1"/>
        <v>0</v>
      </c>
      <c r="M38" s="485"/>
      <c r="N38" s="476">
        <f t="shared" si="3"/>
        <v>0</v>
      </c>
      <c r="O38" s="476">
        <f t="shared" si="4"/>
        <v>0</v>
      </c>
      <c r="P38" s="241"/>
    </row>
    <row r="39" spans="2:16">
      <c r="B39" s="160" t="str">
        <f t="shared" si="5"/>
        <v/>
      </c>
      <c r="C39" s="470">
        <f>IF(D11="","-",+C38+1)</f>
        <v>2033</v>
      </c>
      <c r="D39" s="483">
        <f>IF(F38+SUM(E$17:E38)=D$10,F38,D$10-SUM(E$17:E38))</f>
        <v>685920.86444394547</v>
      </c>
      <c r="E39" s="482">
        <f>IF(+I14&lt;F38,I14,D39)</f>
        <v>36949.99</v>
      </c>
      <c r="F39" s="483">
        <f t="shared" si="23"/>
        <v>648970.87444394547</v>
      </c>
      <c r="G39" s="484">
        <f t="shared" si="24"/>
        <v>110763.98999999999</v>
      </c>
      <c r="H39" s="453">
        <f t="shared" si="25"/>
        <v>110763.98999999999</v>
      </c>
      <c r="I39" s="473">
        <f t="shared" si="6"/>
        <v>0</v>
      </c>
      <c r="J39" s="473"/>
      <c r="K39" s="485"/>
      <c r="L39" s="476">
        <f t="shared" si="1"/>
        <v>0</v>
      </c>
      <c r="M39" s="485"/>
      <c r="N39" s="476">
        <f t="shared" si="3"/>
        <v>0</v>
      </c>
      <c r="O39" s="476">
        <f t="shared" si="4"/>
        <v>0</v>
      </c>
      <c r="P39" s="241"/>
    </row>
    <row r="40" spans="2:16">
      <c r="B40" s="160" t="str">
        <f t="shared" si="5"/>
        <v/>
      </c>
      <c r="C40" s="470">
        <f>IF(D11="","-",+C39+1)</f>
        <v>2034</v>
      </c>
      <c r="D40" s="483">
        <f>IF(F39+SUM(E$17:E39)=D$10,F39,D$10-SUM(E$17:E39))</f>
        <v>648970.87444394547</v>
      </c>
      <c r="E40" s="482">
        <f>IF(+I14&lt;F39,I14,D40)</f>
        <v>36949.99</v>
      </c>
      <c r="F40" s="483">
        <f t="shared" si="23"/>
        <v>612020.88444394548</v>
      </c>
      <c r="G40" s="484">
        <f t="shared" si="24"/>
        <v>106560.98999999999</v>
      </c>
      <c r="H40" s="453">
        <f t="shared" si="25"/>
        <v>106560.98999999999</v>
      </c>
      <c r="I40" s="473">
        <f t="shared" si="6"/>
        <v>0</v>
      </c>
      <c r="J40" s="473"/>
      <c r="K40" s="485"/>
      <c r="L40" s="476">
        <f t="shared" si="1"/>
        <v>0</v>
      </c>
      <c r="M40" s="485"/>
      <c r="N40" s="476">
        <f t="shared" si="3"/>
        <v>0</v>
      </c>
      <c r="O40" s="476">
        <f t="shared" si="4"/>
        <v>0</v>
      </c>
      <c r="P40" s="241"/>
    </row>
    <row r="41" spans="2:16">
      <c r="B41" s="160" t="str">
        <f t="shared" si="5"/>
        <v/>
      </c>
      <c r="C41" s="470">
        <f>IF(D11="","-",+C40+1)</f>
        <v>2035</v>
      </c>
      <c r="D41" s="483">
        <f>IF(F40+SUM(E$17:E40)=D$10,F40,D$10-SUM(E$17:E40))</f>
        <v>612020.88444394548</v>
      </c>
      <c r="E41" s="482">
        <f>IF(+I14&lt;F40,I14,D41)</f>
        <v>36949.99</v>
      </c>
      <c r="F41" s="483">
        <f t="shared" si="23"/>
        <v>575070.89444394549</v>
      </c>
      <c r="G41" s="484">
        <f t="shared" si="24"/>
        <v>102358.98999999999</v>
      </c>
      <c r="H41" s="453">
        <f t="shared" si="25"/>
        <v>102358.98999999999</v>
      </c>
      <c r="I41" s="473">
        <f t="shared" si="6"/>
        <v>0</v>
      </c>
      <c r="J41" s="473"/>
      <c r="K41" s="485"/>
      <c r="L41" s="476">
        <f t="shared" si="1"/>
        <v>0</v>
      </c>
      <c r="M41" s="485"/>
      <c r="N41" s="476">
        <f t="shared" si="3"/>
        <v>0</v>
      </c>
      <c r="O41" s="476">
        <f t="shared" si="4"/>
        <v>0</v>
      </c>
      <c r="P41" s="241"/>
    </row>
    <row r="42" spans="2:16">
      <c r="B42" s="160" t="str">
        <f t="shared" si="5"/>
        <v/>
      </c>
      <c r="C42" s="470">
        <f>IF(D11="","-",+C41+1)</f>
        <v>2036</v>
      </c>
      <c r="D42" s="483">
        <f>IF(F41+SUM(E$17:E41)=D$10,F41,D$10-SUM(E$17:E41))</f>
        <v>575070.89444394549</v>
      </c>
      <c r="E42" s="482">
        <f>IF(+I14&lt;F41,I14,D42)</f>
        <v>36949.99</v>
      </c>
      <c r="F42" s="483">
        <f t="shared" si="23"/>
        <v>538120.9044439455</v>
      </c>
      <c r="G42" s="484">
        <f t="shared" si="24"/>
        <v>98155.989999999991</v>
      </c>
      <c r="H42" s="453">
        <f t="shared" si="25"/>
        <v>98155.989999999991</v>
      </c>
      <c r="I42" s="473">
        <f t="shared" si="6"/>
        <v>0</v>
      </c>
      <c r="J42" s="473"/>
      <c r="K42" s="485"/>
      <c r="L42" s="476">
        <f t="shared" si="1"/>
        <v>0</v>
      </c>
      <c r="M42" s="485"/>
      <c r="N42" s="476">
        <f t="shared" si="3"/>
        <v>0</v>
      </c>
      <c r="O42" s="476">
        <f t="shared" si="4"/>
        <v>0</v>
      </c>
      <c r="P42" s="241"/>
    </row>
    <row r="43" spans="2:16">
      <c r="B43" s="160" t="str">
        <f t="shared" si="5"/>
        <v/>
      </c>
      <c r="C43" s="470">
        <f>IF(D11="","-",+C42+1)</f>
        <v>2037</v>
      </c>
      <c r="D43" s="483">
        <f>IF(F42+SUM(E$17:E42)=D$10,F42,D$10-SUM(E$17:E42))</f>
        <v>538120.9044439455</v>
      </c>
      <c r="E43" s="482">
        <f>IF(+I14&lt;F42,I14,D43)</f>
        <v>36949.99</v>
      </c>
      <c r="F43" s="483">
        <f t="shared" si="23"/>
        <v>501170.91444394551</v>
      </c>
      <c r="G43" s="484">
        <f t="shared" si="24"/>
        <v>93952.989999999991</v>
      </c>
      <c r="H43" s="453">
        <f t="shared" si="25"/>
        <v>93952.989999999991</v>
      </c>
      <c r="I43" s="473">
        <f t="shared" si="6"/>
        <v>0</v>
      </c>
      <c r="J43" s="473"/>
      <c r="K43" s="485"/>
      <c r="L43" s="476">
        <f t="shared" si="1"/>
        <v>0</v>
      </c>
      <c r="M43" s="485"/>
      <c r="N43" s="476">
        <f t="shared" si="3"/>
        <v>0</v>
      </c>
      <c r="O43" s="476">
        <f t="shared" si="4"/>
        <v>0</v>
      </c>
      <c r="P43" s="241"/>
    </row>
    <row r="44" spans="2:16">
      <c r="B44" s="160" t="str">
        <f t="shared" si="5"/>
        <v/>
      </c>
      <c r="C44" s="470">
        <f>IF(D11="","-",+C43+1)</f>
        <v>2038</v>
      </c>
      <c r="D44" s="483">
        <f>IF(F43+SUM(E$17:E43)=D$10,F43,D$10-SUM(E$17:E43))</f>
        <v>501170.91444394551</v>
      </c>
      <c r="E44" s="482">
        <f>IF(+I14&lt;F43,I14,D44)</f>
        <v>36949.99</v>
      </c>
      <c r="F44" s="483">
        <f t="shared" si="23"/>
        <v>464220.92444394552</v>
      </c>
      <c r="G44" s="484">
        <f t="shared" si="24"/>
        <v>89750.989999999991</v>
      </c>
      <c r="H44" s="453">
        <f t="shared" si="25"/>
        <v>89750.989999999991</v>
      </c>
      <c r="I44" s="473">
        <f t="shared" si="6"/>
        <v>0</v>
      </c>
      <c r="J44" s="473"/>
      <c r="K44" s="485"/>
      <c r="L44" s="476">
        <f t="shared" si="1"/>
        <v>0</v>
      </c>
      <c r="M44" s="485"/>
      <c r="N44" s="476">
        <f t="shared" si="3"/>
        <v>0</v>
      </c>
      <c r="O44" s="476">
        <f t="shared" si="4"/>
        <v>0</v>
      </c>
      <c r="P44" s="241"/>
    </row>
    <row r="45" spans="2:16">
      <c r="B45" s="160" t="str">
        <f t="shared" si="5"/>
        <v/>
      </c>
      <c r="C45" s="470">
        <f>IF(D11="","-",+C44+1)</f>
        <v>2039</v>
      </c>
      <c r="D45" s="483">
        <f>IF(F44+SUM(E$17:E44)=D$10,F44,D$10-SUM(E$17:E44))</f>
        <v>464220.92444394552</v>
      </c>
      <c r="E45" s="482">
        <f>IF(+I14&lt;F44,I14,D45)</f>
        <v>36949.99</v>
      </c>
      <c r="F45" s="483">
        <f t="shared" si="23"/>
        <v>427270.93444394553</v>
      </c>
      <c r="G45" s="484">
        <f t="shared" si="24"/>
        <v>85547.989999999991</v>
      </c>
      <c r="H45" s="453">
        <f t="shared" si="25"/>
        <v>85547.989999999991</v>
      </c>
      <c r="I45" s="473">
        <f t="shared" si="6"/>
        <v>0</v>
      </c>
      <c r="J45" s="473"/>
      <c r="K45" s="485"/>
      <c r="L45" s="476">
        <f t="shared" si="1"/>
        <v>0</v>
      </c>
      <c r="M45" s="485"/>
      <c r="N45" s="476">
        <f t="shared" si="3"/>
        <v>0</v>
      </c>
      <c r="O45" s="476">
        <f t="shared" si="4"/>
        <v>0</v>
      </c>
      <c r="P45" s="241"/>
    </row>
    <row r="46" spans="2:16">
      <c r="B46" s="160" t="str">
        <f t="shared" si="5"/>
        <v/>
      </c>
      <c r="C46" s="470">
        <f>IF(D11="","-",+C45+1)</f>
        <v>2040</v>
      </c>
      <c r="D46" s="483">
        <f>IF(F45+SUM(E$17:E45)=D$10,F45,D$10-SUM(E$17:E45))</f>
        <v>427270.93444394553</v>
      </c>
      <c r="E46" s="482">
        <f>IF(+I14&lt;F45,I14,D46)</f>
        <v>36949.99</v>
      </c>
      <c r="F46" s="483">
        <f t="shared" si="23"/>
        <v>390320.94444394554</v>
      </c>
      <c r="G46" s="484">
        <f t="shared" si="24"/>
        <v>81344.989999999991</v>
      </c>
      <c r="H46" s="453">
        <f t="shared" si="25"/>
        <v>81344.989999999991</v>
      </c>
      <c r="I46" s="473">
        <f t="shared" si="6"/>
        <v>0</v>
      </c>
      <c r="J46" s="473"/>
      <c r="K46" s="485"/>
      <c r="L46" s="476">
        <f t="shared" si="1"/>
        <v>0</v>
      </c>
      <c r="M46" s="485"/>
      <c r="N46" s="476">
        <f t="shared" si="3"/>
        <v>0</v>
      </c>
      <c r="O46" s="476">
        <f t="shared" si="4"/>
        <v>0</v>
      </c>
      <c r="P46" s="241"/>
    </row>
    <row r="47" spans="2:16">
      <c r="B47" s="160" t="str">
        <f t="shared" si="5"/>
        <v/>
      </c>
      <c r="C47" s="470">
        <f>IF(D11="","-",+C46+1)</f>
        <v>2041</v>
      </c>
      <c r="D47" s="483">
        <f>IF(F46+SUM(E$17:E46)=D$10,F46,D$10-SUM(E$17:E46))</f>
        <v>390320.94444394554</v>
      </c>
      <c r="E47" s="482">
        <f>IF(+I14&lt;F46,I14,D47)</f>
        <v>36949.99</v>
      </c>
      <c r="F47" s="483">
        <f t="shared" si="23"/>
        <v>353370.95444394555</v>
      </c>
      <c r="G47" s="484">
        <f t="shared" si="24"/>
        <v>77141.989999999991</v>
      </c>
      <c r="H47" s="453">
        <f t="shared" si="25"/>
        <v>77141.989999999991</v>
      </c>
      <c r="I47" s="473">
        <f t="shared" si="6"/>
        <v>0</v>
      </c>
      <c r="J47" s="473"/>
      <c r="K47" s="485"/>
      <c r="L47" s="476">
        <f t="shared" si="1"/>
        <v>0</v>
      </c>
      <c r="M47" s="485"/>
      <c r="N47" s="476">
        <f t="shared" si="3"/>
        <v>0</v>
      </c>
      <c r="O47" s="476">
        <f t="shared" si="4"/>
        <v>0</v>
      </c>
      <c r="P47" s="241"/>
    </row>
    <row r="48" spans="2:16">
      <c r="B48" s="160" t="str">
        <f t="shared" si="5"/>
        <v/>
      </c>
      <c r="C48" s="470">
        <f>IF(D11="","-",+C47+1)</f>
        <v>2042</v>
      </c>
      <c r="D48" s="483">
        <f>IF(F47+SUM(E$17:E47)=D$10,F47,D$10-SUM(E$17:E47))</f>
        <v>353370.95444394555</v>
      </c>
      <c r="E48" s="482">
        <f>IF(+I14&lt;F47,I14,D48)</f>
        <v>36949.99</v>
      </c>
      <c r="F48" s="483">
        <f t="shared" si="23"/>
        <v>316420.96444394556</v>
      </c>
      <c r="G48" s="484">
        <f t="shared" si="24"/>
        <v>72939.989999999991</v>
      </c>
      <c r="H48" s="453">
        <f t="shared" si="25"/>
        <v>72939.989999999991</v>
      </c>
      <c r="I48" s="473">
        <f t="shared" si="6"/>
        <v>0</v>
      </c>
      <c r="J48" s="473"/>
      <c r="K48" s="485"/>
      <c r="L48" s="476">
        <f t="shared" si="1"/>
        <v>0</v>
      </c>
      <c r="M48" s="485"/>
      <c r="N48" s="476">
        <f t="shared" si="3"/>
        <v>0</v>
      </c>
      <c r="O48" s="476">
        <f t="shared" si="4"/>
        <v>0</v>
      </c>
      <c r="P48" s="241"/>
    </row>
    <row r="49" spans="2:16">
      <c r="B49" s="160" t="str">
        <f t="shared" si="5"/>
        <v/>
      </c>
      <c r="C49" s="470">
        <f>IF(D11="","-",+C48+1)</f>
        <v>2043</v>
      </c>
      <c r="D49" s="483">
        <f>IF(F48+SUM(E$17:E48)=D$10,F48,D$10-SUM(E$17:E48))</f>
        <v>316420.96444394556</v>
      </c>
      <c r="E49" s="482">
        <f>IF(+I14&lt;F48,I14,D49)</f>
        <v>36949.99</v>
      </c>
      <c r="F49" s="483">
        <f t="shared" si="23"/>
        <v>279470.97444394557</v>
      </c>
      <c r="G49" s="484">
        <f t="shared" si="24"/>
        <v>68736.989999999991</v>
      </c>
      <c r="H49" s="453">
        <f t="shared" si="25"/>
        <v>68736.989999999991</v>
      </c>
      <c r="I49" s="473">
        <f t="shared" ref="I49:I72" si="26">H49-G49</f>
        <v>0</v>
      </c>
      <c r="J49" s="473"/>
      <c r="K49" s="485"/>
      <c r="L49" s="476">
        <f t="shared" ref="L49:L72" si="27">IF(K49&lt;&gt;0,+G49-K49,0)</f>
        <v>0</v>
      </c>
      <c r="M49" s="485"/>
      <c r="N49" s="476">
        <f t="shared" ref="N49:N72" si="28">IF(M49&lt;&gt;0,+H49-M49,0)</f>
        <v>0</v>
      </c>
      <c r="O49" s="476">
        <f t="shared" ref="O49:O72" si="29">+N49-L49</f>
        <v>0</v>
      </c>
      <c r="P49" s="241"/>
    </row>
    <row r="50" spans="2:16">
      <c r="B50" s="160" t="str">
        <f t="shared" ref="B50:B72" si="30">IF(D50=F49,"","IU")</f>
        <v/>
      </c>
      <c r="C50" s="470">
        <f>IF(D11="","-",+C49+1)</f>
        <v>2044</v>
      </c>
      <c r="D50" s="483">
        <f>IF(F49+SUM(E$17:E49)=D$10,F49,D$10-SUM(E$17:E49))</f>
        <v>279470.97444394557</v>
      </c>
      <c r="E50" s="482">
        <f>IF(+I14&lt;F49,I14,D50)</f>
        <v>36949.99</v>
      </c>
      <c r="F50" s="483">
        <f t="shared" ref="F50:F72" si="31">+D50-E50</f>
        <v>242520.98444394558</v>
      </c>
      <c r="G50" s="484">
        <f t="shared" ref="G50:G72" si="32">ROUND(I$12*F50,0)+E50</f>
        <v>64533.99</v>
      </c>
      <c r="H50" s="453">
        <f t="shared" ref="H50:H72" si="33">ROUND(I$13*F50,0)+E50</f>
        <v>64533.99</v>
      </c>
      <c r="I50" s="473">
        <f t="shared" si="26"/>
        <v>0</v>
      </c>
      <c r="J50" s="473"/>
      <c r="K50" s="485"/>
      <c r="L50" s="476">
        <f t="shared" si="27"/>
        <v>0</v>
      </c>
      <c r="M50" s="485"/>
      <c r="N50" s="476">
        <f t="shared" si="28"/>
        <v>0</v>
      </c>
      <c r="O50" s="476">
        <f t="shared" si="29"/>
        <v>0</v>
      </c>
      <c r="P50" s="241"/>
    </row>
    <row r="51" spans="2:16">
      <c r="B51" s="160" t="str">
        <f t="shared" si="30"/>
        <v/>
      </c>
      <c r="C51" s="470">
        <f>IF(D11="","-",+C50+1)</f>
        <v>2045</v>
      </c>
      <c r="D51" s="483">
        <f>IF(F50+SUM(E$17:E50)=D$10,F50,D$10-SUM(E$17:E50))</f>
        <v>242520.98444394558</v>
      </c>
      <c r="E51" s="482">
        <f>IF(+I14&lt;F50,I14,D51)</f>
        <v>36949.99</v>
      </c>
      <c r="F51" s="483">
        <f t="shared" si="31"/>
        <v>205570.99444394559</v>
      </c>
      <c r="G51" s="484">
        <f t="shared" si="32"/>
        <v>60331.99</v>
      </c>
      <c r="H51" s="453">
        <f t="shared" si="33"/>
        <v>60331.99</v>
      </c>
      <c r="I51" s="473">
        <f t="shared" si="26"/>
        <v>0</v>
      </c>
      <c r="J51" s="473"/>
      <c r="K51" s="485"/>
      <c r="L51" s="476">
        <f t="shared" si="27"/>
        <v>0</v>
      </c>
      <c r="M51" s="485"/>
      <c r="N51" s="476">
        <f t="shared" si="28"/>
        <v>0</v>
      </c>
      <c r="O51" s="476">
        <f t="shared" si="29"/>
        <v>0</v>
      </c>
      <c r="P51" s="241"/>
    </row>
    <row r="52" spans="2:16">
      <c r="B52" s="160" t="str">
        <f t="shared" si="30"/>
        <v/>
      </c>
      <c r="C52" s="470">
        <f>IF(D11="","-",+C51+1)</f>
        <v>2046</v>
      </c>
      <c r="D52" s="483">
        <f>IF(F51+SUM(E$17:E51)=D$10,F51,D$10-SUM(E$17:E51))</f>
        <v>205570.99444394559</v>
      </c>
      <c r="E52" s="482">
        <f>IF(+I14&lt;F51,I14,D52)</f>
        <v>36949.99</v>
      </c>
      <c r="F52" s="483">
        <f t="shared" si="31"/>
        <v>168621.0044439456</v>
      </c>
      <c r="G52" s="484">
        <f t="shared" si="32"/>
        <v>56128.99</v>
      </c>
      <c r="H52" s="453">
        <f t="shared" si="33"/>
        <v>56128.99</v>
      </c>
      <c r="I52" s="473">
        <f t="shared" si="26"/>
        <v>0</v>
      </c>
      <c r="J52" s="473"/>
      <c r="K52" s="485"/>
      <c r="L52" s="476">
        <f t="shared" si="27"/>
        <v>0</v>
      </c>
      <c r="M52" s="485"/>
      <c r="N52" s="476">
        <f t="shared" si="28"/>
        <v>0</v>
      </c>
      <c r="O52" s="476">
        <f t="shared" si="29"/>
        <v>0</v>
      </c>
      <c r="P52" s="241"/>
    </row>
    <row r="53" spans="2:16">
      <c r="B53" s="160" t="str">
        <f t="shared" si="30"/>
        <v/>
      </c>
      <c r="C53" s="470">
        <f>IF(D11="","-",+C52+1)</f>
        <v>2047</v>
      </c>
      <c r="D53" s="483">
        <f>IF(F52+SUM(E$17:E52)=D$10,F52,D$10-SUM(E$17:E52))</f>
        <v>168621.0044439456</v>
      </c>
      <c r="E53" s="482">
        <f>IF(+I14&lt;F52,I14,D53)</f>
        <v>36949.99</v>
      </c>
      <c r="F53" s="483">
        <f t="shared" si="31"/>
        <v>131671.01444394561</v>
      </c>
      <c r="G53" s="484">
        <f t="shared" si="32"/>
        <v>51925.99</v>
      </c>
      <c r="H53" s="453">
        <f t="shared" si="33"/>
        <v>51925.99</v>
      </c>
      <c r="I53" s="473">
        <f t="shared" si="26"/>
        <v>0</v>
      </c>
      <c r="J53" s="473"/>
      <c r="K53" s="485"/>
      <c r="L53" s="476">
        <f t="shared" si="27"/>
        <v>0</v>
      </c>
      <c r="M53" s="485"/>
      <c r="N53" s="476">
        <f t="shared" si="28"/>
        <v>0</v>
      </c>
      <c r="O53" s="476">
        <f t="shared" si="29"/>
        <v>0</v>
      </c>
      <c r="P53" s="241"/>
    </row>
    <row r="54" spans="2:16">
      <c r="B54" s="160" t="str">
        <f t="shared" si="30"/>
        <v/>
      </c>
      <c r="C54" s="470">
        <f>IF(D11="","-",+C53+1)</f>
        <v>2048</v>
      </c>
      <c r="D54" s="483">
        <f>IF(F53+SUM(E$17:E53)=D$10,F53,D$10-SUM(E$17:E53))</f>
        <v>131671.01444394561</v>
      </c>
      <c r="E54" s="482">
        <f>IF(+I14&lt;F53,I14,D54)</f>
        <v>36949.99</v>
      </c>
      <c r="F54" s="483">
        <f t="shared" si="31"/>
        <v>94721.024443945615</v>
      </c>
      <c r="G54" s="484">
        <f t="shared" si="32"/>
        <v>47723.99</v>
      </c>
      <c r="H54" s="453">
        <f t="shared" si="33"/>
        <v>47723.99</v>
      </c>
      <c r="I54" s="473">
        <f t="shared" si="26"/>
        <v>0</v>
      </c>
      <c r="J54" s="473"/>
      <c r="K54" s="485"/>
      <c r="L54" s="476">
        <f t="shared" si="27"/>
        <v>0</v>
      </c>
      <c r="M54" s="485"/>
      <c r="N54" s="476">
        <f t="shared" si="28"/>
        <v>0</v>
      </c>
      <c r="O54" s="476">
        <f t="shared" si="29"/>
        <v>0</v>
      </c>
      <c r="P54" s="241"/>
    </row>
    <row r="55" spans="2:16">
      <c r="B55" s="160" t="str">
        <f t="shared" si="30"/>
        <v/>
      </c>
      <c r="C55" s="470">
        <f>IF(D11="","-",+C54+1)</f>
        <v>2049</v>
      </c>
      <c r="D55" s="483">
        <f>IF(F54+SUM(E$17:E54)=D$10,F54,D$10-SUM(E$17:E54))</f>
        <v>94721.024443945615</v>
      </c>
      <c r="E55" s="482">
        <f>IF(+I14&lt;F54,I14,D55)</f>
        <v>36949.99</v>
      </c>
      <c r="F55" s="483">
        <f t="shared" si="31"/>
        <v>57771.034443945617</v>
      </c>
      <c r="G55" s="484">
        <f t="shared" si="32"/>
        <v>43520.99</v>
      </c>
      <c r="H55" s="453">
        <f t="shared" si="33"/>
        <v>43520.99</v>
      </c>
      <c r="I55" s="473">
        <f t="shared" si="26"/>
        <v>0</v>
      </c>
      <c r="J55" s="473"/>
      <c r="K55" s="485"/>
      <c r="L55" s="476">
        <f t="shared" si="27"/>
        <v>0</v>
      </c>
      <c r="M55" s="485"/>
      <c r="N55" s="476">
        <f t="shared" si="28"/>
        <v>0</v>
      </c>
      <c r="O55" s="476">
        <f t="shared" si="29"/>
        <v>0</v>
      </c>
      <c r="P55" s="241"/>
    </row>
    <row r="56" spans="2:16">
      <c r="B56" s="160" t="str">
        <f t="shared" si="30"/>
        <v/>
      </c>
      <c r="C56" s="470">
        <f>IF(D11="","-",+C55+1)</f>
        <v>2050</v>
      </c>
      <c r="D56" s="483">
        <f>IF(F55+SUM(E$17:E55)=D$10,F55,D$10-SUM(E$17:E55))</f>
        <v>57771.034443945617</v>
      </c>
      <c r="E56" s="482">
        <f>IF(+I14&lt;F55,I14,D56)</f>
        <v>36949.99</v>
      </c>
      <c r="F56" s="483">
        <f t="shared" si="31"/>
        <v>20821.044443945619</v>
      </c>
      <c r="G56" s="484">
        <f t="shared" si="32"/>
        <v>39317.99</v>
      </c>
      <c r="H56" s="453">
        <f t="shared" si="33"/>
        <v>39317.99</v>
      </c>
      <c r="I56" s="473">
        <f t="shared" si="26"/>
        <v>0</v>
      </c>
      <c r="J56" s="473"/>
      <c r="K56" s="485"/>
      <c r="L56" s="476">
        <f t="shared" si="27"/>
        <v>0</v>
      </c>
      <c r="M56" s="485"/>
      <c r="N56" s="476">
        <f t="shared" si="28"/>
        <v>0</v>
      </c>
      <c r="O56" s="476">
        <f t="shared" si="29"/>
        <v>0</v>
      </c>
      <c r="P56" s="241"/>
    </row>
    <row r="57" spans="2:16">
      <c r="B57" s="160" t="str">
        <f t="shared" si="30"/>
        <v/>
      </c>
      <c r="C57" s="470">
        <f>IF(D11="","-",+C56+1)</f>
        <v>2051</v>
      </c>
      <c r="D57" s="483">
        <f>IF(F56+SUM(E$17:E56)=D$10,F56,D$10-SUM(E$17:E56))</f>
        <v>20821.044443945619</v>
      </c>
      <c r="E57" s="482">
        <f>IF(+I14&lt;F56,I14,D57)</f>
        <v>20821.044443945619</v>
      </c>
      <c r="F57" s="483">
        <f t="shared" si="31"/>
        <v>0</v>
      </c>
      <c r="G57" s="484">
        <f t="shared" si="32"/>
        <v>20821.044443945619</v>
      </c>
      <c r="H57" s="453">
        <f t="shared" si="33"/>
        <v>20821.044443945619</v>
      </c>
      <c r="I57" s="473">
        <f t="shared" si="26"/>
        <v>0</v>
      </c>
      <c r="J57" s="473"/>
      <c r="K57" s="485"/>
      <c r="L57" s="476">
        <f t="shared" si="27"/>
        <v>0</v>
      </c>
      <c r="M57" s="485"/>
      <c r="N57" s="476">
        <f t="shared" si="28"/>
        <v>0</v>
      </c>
      <c r="O57" s="476">
        <f t="shared" si="29"/>
        <v>0</v>
      </c>
      <c r="P57" s="241"/>
    </row>
    <row r="58" spans="2:16">
      <c r="B58" s="160" t="str">
        <f t="shared" si="30"/>
        <v/>
      </c>
      <c r="C58" s="470">
        <f>IF(D11="","-",+C57+1)</f>
        <v>2052</v>
      </c>
      <c r="D58" s="483">
        <f>IF(F57+SUM(E$17:E57)=D$10,F57,D$10-SUM(E$17:E57))</f>
        <v>0</v>
      </c>
      <c r="E58" s="482">
        <f>IF(+I14&lt;F57,I14,D58)</f>
        <v>0</v>
      </c>
      <c r="F58" s="483">
        <f t="shared" si="31"/>
        <v>0</v>
      </c>
      <c r="G58" s="484">
        <f t="shared" si="32"/>
        <v>0</v>
      </c>
      <c r="H58" s="453">
        <f t="shared" si="33"/>
        <v>0</v>
      </c>
      <c r="I58" s="473">
        <f t="shared" si="26"/>
        <v>0</v>
      </c>
      <c r="J58" s="473"/>
      <c r="K58" s="485"/>
      <c r="L58" s="476">
        <f t="shared" si="27"/>
        <v>0</v>
      </c>
      <c r="M58" s="485"/>
      <c r="N58" s="476">
        <f t="shared" si="28"/>
        <v>0</v>
      </c>
      <c r="O58" s="476">
        <f t="shared" si="29"/>
        <v>0</v>
      </c>
      <c r="P58" s="241"/>
    </row>
    <row r="59" spans="2:16">
      <c r="B59" s="160" t="str">
        <f t="shared" si="30"/>
        <v/>
      </c>
      <c r="C59" s="470">
        <f>IF(D11="","-",+C58+1)</f>
        <v>2053</v>
      </c>
      <c r="D59" s="483">
        <f>IF(F58+SUM(E$17:E58)=D$10,F58,D$10-SUM(E$17:E58))</f>
        <v>0</v>
      </c>
      <c r="E59" s="482">
        <f>IF(+I14&lt;F58,I14,D59)</f>
        <v>0</v>
      </c>
      <c r="F59" s="483">
        <f t="shared" si="31"/>
        <v>0</v>
      </c>
      <c r="G59" s="484">
        <f t="shared" si="32"/>
        <v>0</v>
      </c>
      <c r="H59" s="453">
        <f t="shared" si="33"/>
        <v>0</v>
      </c>
      <c r="I59" s="473">
        <f t="shared" si="26"/>
        <v>0</v>
      </c>
      <c r="J59" s="473"/>
      <c r="K59" s="485"/>
      <c r="L59" s="476">
        <f t="shared" si="27"/>
        <v>0</v>
      </c>
      <c r="M59" s="485"/>
      <c r="N59" s="476">
        <f t="shared" si="28"/>
        <v>0</v>
      </c>
      <c r="O59" s="476">
        <f t="shared" si="29"/>
        <v>0</v>
      </c>
      <c r="P59" s="241"/>
    </row>
    <row r="60" spans="2:16">
      <c r="B60" s="160" t="str">
        <f t="shared" si="30"/>
        <v/>
      </c>
      <c r="C60" s="470">
        <f>IF(D11="","-",+C59+1)</f>
        <v>2054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31"/>
        <v>0</v>
      </c>
      <c r="G60" s="484">
        <f t="shared" si="32"/>
        <v>0</v>
      </c>
      <c r="H60" s="453">
        <f t="shared" si="33"/>
        <v>0</v>
      </c>
      <c r="I60" s="473">
        <f t="shared" si="26"/>
        <v>0</v>
      </c>
      <c r="J60" s="473"/>
      <c r="K60" s="485"/>
      <c r="L60" s="476">
        <f t="shared" si="27"/>
        <v>0</v>
      </c>
      <c r="M60" s="485"/>
      <c r="N60" s="476">
        <f t="shared" si="28"/>
        <v>0</v>
      </c>
      <c r="O60" s="476">
        <f t="shared" si="29"/>
        <v>0</v>
      </c>
      <c r="P60" s="241"/>
    </row>
    <row r="61" spans="2:16">
      <c r="B61" s="160" t="str">
        <f t="shared" si="30"/>
        <v/>
      </c>
      <c r="C61" s="470">
        <f>IF(D11="","-",+C60+1)</f>
        <v>2055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31"/>
        <v>0</v>
      </c>
      <c r="G61" s="486">
        <f t="shared" si="32"/>
        <v>0</v>
      </c>
      <c r="H61" s="453">
        <f t="shared" si="33"/>
        <v>0</v>
      </c>
      <c r="I61" s="473">
        <f t="shared" si="26"/>
        <v>0</v>
      </c>
      <c r="J61" s="473"/>
      <c r="K61" s="485"/>
      <c r="L61" s="476">
        <f t="shared" si="27"/>
        <v>0</v>
      </c>
      <c r="M61" s="485"/>
      <c r="N61" s="476">
        <f t="shared" si="28"/>
        <v>0</v>
      </c>
      <c r="O61" s="476">
        <f t="shared" si="29"/>
        <v>0</v>
      </c>
      <c r="P61" s="241"/>
    </row>
    <row r="62" spans="2:16">
      <c r="B62" s="160" t="str">
        <f t="shared" si="30"/>
        <v/>
      </c>
      <c r="C62" s="470">
        <f>IF(D11="","-",+C61+1)</f>
        <v>2056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31"/>
        <v>0</v>
      </c>
      <c r="G62" s="486">
        <f t="shared" si="32"/>
        <v>0</v>
      </c>
      <c r="H62" s="453">
        <f t="shared" si="33"/>
        <v>0</v>
      </c>
      <c r="I62" s="473">
        <f t="shared" si="26"/>
        <v>0</v>
      </c>
      <c r="J62" s="473"/>
      <c r="K62" s="485"/>
      <c r="L62" s="476">
        <f t="shared" si="27"/>
        <v>0</v>
      </c>
      <c r="M62" s="485"/>
      <c r="N62" s="476">
        <f t="shared" si="28"/>
        <v>0</v>
      </c>
      <c r="O62" s="476">
        <f t="shared" si="29"/>
        <v>0</v>
      </c>
      <c r="P62" s="241"/>
    </row>
    <row r="63" spans="2:16">
      <c r="B63" s="160" t="str">
        <f t="shared" si="30"/>
        <v/>
      </c>
      <c r="C63" s="470">
        <f>IF(D11="","-",+C62+1)</f>
        <v>2057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31"/>
        <v>0</v>
      </c>
      <c r="G63" s="486">
        <f t="shared" si="32"/>
        <v>0</v>
      </c>
      <c r="H63" s="453">
        <f t="shared" si="33"/>
        <v>0</v>
      </c>
      <c r="I63" s="473">
        <f t="shared" si="26"/>
        <v>0</v>
      </c>
      <c r="J63" s="473"/>
      <c r="K63" s="485"/>
      <c r="L63" s="476">
        <f t="shared" si="27"/>
        <v>0</v>
      </c>
      <c r="M63" s="485"/>
      <c r="N63" s="476">
        <f t="shared" si="28"/>
        <v>0</v>
      </c>
      <c r="O63" s="476">
        <f t="shared" si="29"/>
        <v>0</v>
      </c>
      <c r="P63" s="241"/>
    </row>
    <row r="64" spans="2:16">
      <c r="B64" s="160" t="str">
        <f t="shared" si="30"/>
        <v/>
      </c>
      <c r="C64" s="470">
        <f>IF(D11="","-",+C63+1)</f>
        <v>2058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31"/>
        <v>0</v>
      </c>
      <c r="G64" s="486">
        <f t="shared" si="32"/>
        <v>0</v>
      </c>
      <c r="H64" s="453">
        <f t="shared" si="33"/>
        <v>0</v>
      </c>
      <c r="I64" s="473">
        <f t="shared" si="26"/>
        <v>0</v>
      </c>
      <c r="J64" s="473"/>
      <c r="K64" s="485"/>
      <c r="L64" s="476">
        <f t="shared" si="27"/>
        <v>0</v>
      </c>
      <c r="M64" s="485"/>
      <c r="N64" s="476">
        <f t="shared" si="28"/>
        <v>0</v>
      </c>
      <c r="O64" s="476">
        <f t="shared" si="29"/>
        <v>0</v>
      </c>
      <c r="P64" s="241"/>
    </row>
    <row r="65" spans="2:16">
      <c r="B65" s="160" t="str">
        <f t="shared" si="30"/>
        <v/>
      </c>
      <c r="C65" s="470">
        <f>IF(D11="","-",+C64+1)</f>
        <v>2059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31"/>
        <v>0</v>
      </c>
      <c r="G65" s="486">
        <f t="shared" si="32"/>
        <v>0</v>
      </c>
      <c r="H65" s="453">
        <f t="shared" si="33"/>
        <v>0</v>
      </c>
      <c r="I65" s="473">
        <f t="shared" si="26"/>
        <v>0</v>
      </c>
      <c r="J65" s="473"/>
      <c r="K65" s="485"/>
      <c r="L65" s="476">
        <f t="shared" si="27"/>
        <v>0</v>
      </c>
      <c r="M65" s="485"/>
      <c r="N65" s="476">
        <f t="shared" si="28"/>
        <v>0</v>
      </c>
      <c r="O65" s="476">
        <f t="shared" si="29"/>
        <v>0</v>
      </c>
      <c r="P65" s="241"/>
    </row>
    <row r="66" spans="2:16">
      <c r="B66" s="160" t="str">
        <f t="shared" si="30"/>
        <v/>
      </c>
      <c r="C66" s="470">
        <f>IF(D11="","-",+C65+1)</f>
        <v>2060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31"/>
        <v>0</v>
      </c>
      <c r="G66" s="486">
        <f t="shared" si="32"/>
        <v>0</v>
      </c>
      <c r="H66" s="453">
        <f t="shared" si="33"/>
        <v>0</v>
      </c>
      <c r="I66" s="473">
        <f t="shared" si="26"/>
        <v>0</v>
      </c>
      <c r="J66" s="473"/>
      <c r="K66" s="485"/>
      <c r="L66" s="476">
        <f t="shared" si="27"/>
        <v>0</v>
      </c>
      <c r="M66" s="485"/>
      <c r="N66" s="476">
        <f t="shared" si="28"/>
        <v>0</v>
      </c>
      <c r="O66" s="476">
        <f t="shared" si="29"/>
        <v>0</v>
      </c>
      <c r="P66" s="241"/>
    </row>
    <row r="67" spans="2:16">
      <c r="B67" s="160" t="str">
        <f t="shared" si="30"/>
        <v/>
      </c>
      <c r="C67" s="470">
        <f>IF(D11="","-",+C66+1)</f>
        <v>2061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31"/>
        <v>0</v>
      </c>
      <c r="G67" s="486">
        <f t="shared" si="32"/>
        <v>0</v>
      </c>
      <c r="H67" s="453">
        <f t="shared" si="33"/>
        <v>0</v>
      </c>
      <c r="I67" s="473">
        <f t="shared" si="26"/>
        <v>0</v>
      </c>
      <c r="J67" s="473"/>
      <c r="K67" s="485"/>
      <c r="L67" s="476">
        <f t="shared" si="27"/>
        <v>0</v>
      </c>
      <c r="M67" s="485"/>
      <c r="N67" s="476">
        <f t="shared" si="28"/>
        <v>0</v>
      </c>
      <c r="O67" s="476">
        <f t="shared" si="29"/>
        <v>0</v>
      </c>
      <c r="P67" s="241"/>
    </row>
    <row r="68" spans="2:16">
      <c r="B68" s="160" t="str">
        <f t="shared" si="30"/>
        <v/>
      </c>
      <c r="C68" s="470">
        <f>IF(D11="","-",+C67+1)</f>
        <v>2062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31"/>
        <v>0</v>
      </c>
      <c r="G68" s="486">
        <f t="shared" si="32"/>
        <v>0</v>
      </c>
      <c r="H68" s="453">
        <f t="shared" si="33"/>
        <v>0</v>
      </c>
      <c r="I68" s="473">
        <f t="shared" si="26"/>
        <v>0</v>
      </c>
      <c r="J68" s="473"/>
      <c r="K68" s="485"/>
      <c r="L68" s="476">
        <f t="shared" si="27"/>
        <v>0</v>
      </c>
      <c r="M68" s="485"/>
      <c r="N68" s="476">
        <f t="shared" si="28"/>
        <v>0</v>
      </c>
      <c r="O68" s="476">
        <f t="shared" si="29"/>
        <v>0</v>
      </c>
      <c r="P68" s="241"/>
    </row>
    <row r="69" spans="2:16">
      <c r="B69" s="160" t="str">
        <f t="shared" si="30"/>
        <v/>
      </c>
      <c r="C69" s="470">
        <f>IF(D11="","-",+C68+1)</f>
        <v>2063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31"/>
        <v>0</v>
      </c>
      <c r="G69" s="486">
        <f t="shared" si="32"/>
        <v>0</v>
      </c>
      <c r="H69" s="453">
        <f t="shared" si="33"/>
        <v>0</v>
      </c>
      <c r="I69" s="473">
        <f t="shared" si="26"/>
        <v>0</v>
      </c>
      <c r="J69" s="473"/>
      <c r="K69" s="485"/>
      <c r="L69" s="476">
        <f t="shared" si="27"/>
        <v>0</v>
      </c>
      <c r="M69" s="485"/>
      <c r="N69" s="476">
        <f t="shared" si="28"/>
        <v>0</v>
      </c>
      <c r="O69" s="476">
        <f t="shared" si="29"/>
        <v>0</v>
      </c>
      <c r="P69" s="241"/>
    </row>
    <row r="70" spans="2:16">
      <c r="B70" s="160" t="str">
        <f t="shared" si="30"/>
        <v/>
      </c>
      <c r="C70" s="470">
        <f>IF(D11="","-",+C69+1)</f>
        <v>2064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31"/>
        <v>0</v>
      </c>
      <c r="G70" s="486">
        <f t="shared" si="32"/>
        <v>0</v>
      </c>
      <c r="H70" s="453">
        <f t="shared" si="33"/>
        <v>0</v>
      </c>
      <c r="I70" s="473">
        <f t="shared" si="26"/>
        <v>0</v>
      </c>
      <c r="J70" s="473"/>
      <c r="K70" s="485"/>
      <c r="L70" s="476">
        <f t="shared" si="27"/>
        <v>0</v>
      </c>
      <c r="M70" s="485"/>
      <c r="N70" s="476">
        <f t="shared" si="28"/>
        <v>0</v>
      </c>
      <c r="O70" s="476">
        <f t="shared" si="29"/>
        <v>0</v>
      </c>
      <c r="P70" s="241"/>
    </row>
    <row r="71" spans="2:16">
      <c r="B71" s="160" t="str">
        <f t="shared" si="30"/>
        <v/>
      </c>
      <c r="C71" s="470">
        <f>IF(D11="","-",+C70+1)</f>
        <v>2065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31"/>
        <v>0</v>
      </c>
      <c r="G71" s="486">
        <f t="shared" si="32"/>
        <v>0</v>
      </c>
      <c r="H71" s="453">
        <f t="shared" si="33"/>
        <v>0</v>
      </c>
      <c r="I71" s="473">
        <f t="shared" si="26"/>
        <v>0</v>
      </c>
      <c r="J71" s="473"/>
      <c r="K71" s="485"/>
      <c r="L71" s="476">
        <f t="shared" si="27"/>
        <v>0</v>
      </c>
      <c r="M71" s="485"/>
      <c r="N71" s="476">
        <f t="shared" si="28"/>
        <v>0</v>
      </c>
      <c r="O71" s="476">
        <f t="shared" si="29"/>
        <v>0</v>
      </c>
      <c r="P71" s="241"/>
    </row>
    <row r="72" spans="2:16" ht="13.5" thickBot="1">
      <c r="B72" s="160" t="str">
        <f t="shared" si="30"/>
        <v/>
      </c>
      <c r="C72" s="487">
        <f>IF(D11="","-",+C71+1)</f>
        <v>2066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31"/>
        <v>0</v>
      </c>
      <c r="G72" s="490">
        <f t="shared" si="32"/>
        <v>0</v>
      </c>
      <c r="H72" s="433">
        <f t="shared" si="33"/>
        <v>0</v>
      </c>
      <c r="I72" s="491">
        <f t="shared" si="26"/>
        <v>0</v>
      </c>
      <c r="J72" s="473"/>
      <c r="K72" s="492"/>
      <c r="L72" s="493">
        <f t="shared" si="27"/>
        <v>0</v>
      </c>
      <c r="M72" s="492"/>
      <c r="N72" s="493">
        <f t="shared" si="28"/>
        <v>0</v>
      </c>
      <c r="O72" s="493">
        <f t="shared" si="29"/>
        <v>0</v>
      </c>
      <c r="P72" s="241"/>
    </row>
    <row r="73" spans="2:16">
      <c r="C73" s="345" t="s">
        <v>77</v>
      </c>
      <c r="D73" s="346"/>
      <c r="E73" s="346">
        <f>SUM(E17:E72)</f>
        <v>1404099.6199999999</v>
      </c>
      <c r="F73" s="346"/>
      <c r="G73" s="346">
        <f>SUM(G17:G72)</f>
        <v>5017884.6570557859</v>
      </c>
      <c r="H73" s="346">
        <f>SUM(H17:H72)</f>
        <v>5017884.6570557859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11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147114.94333333333</v>
      </c>
      <c r="N87" s="506">
        <f>IF(J92&lt;D11,0,VLOOKUP(J92,C17:O72,11))</f>
        <v>147114.94333333333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165502.18998219044</v>
      </c>
      <c r="N88" s="510">
        <f>IF(J92&lt;D11,0,VLOOKUP(J92,C99:P154,7))</f>
        <v>165502.18998219044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Bartlesville SE to Coffeyville T Rebuild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18387.246648857108</v>
      </c>
      <c r="N89" s="515">
        <f>+N88-N87</f>
        <v>18387.246648857108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TP2008079-PSO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445">
        <f>D10</f>
        <v>1404099.6199999999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f>IF(D11=I10,"",D11)</f>
        <v>2011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f>IF(D11=I10,"",D12)</f>
        <v>6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34246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2011</v>
      </c>
      <c r="D99" s="471">
        <v>0</v>
      </c>
      <c r="E99" s="478">
        <v>13815</v>
      </c>
      <c r="F99" s="571">
        <v>1422922</v>
      </c>
      <c r="G99" s="535">
        <v>711461</v>
      </c>
      <c r="H99" s="537">
        <v>113286.80836539247</v>
      </c>
      <c r="I99" s="537">
        <v>113286.80836539247</v>
      </c>
      <c r="J99" s="476">
        <f t="shared" ref="J99:J130" si="34">+I99-H99</f>
        <v>0</v>
      </c>
      <c r="K99" s="572"/>
      <c r="L99" s="565">
        <f t="shared" ref="L99:L104" si="35">H99</f>
        <v>113286.80836539247</v>
      </c>
      <c r="M99" s="573">
        <f t="shared" ref="M99:M130" si="36">IF(L99&lt;&gt;0,+H99-L99,0)</f>
        <v>0</v>
      </c>
      <c r="N99" s="565">
        <f t="shared" ref="N99:N104" si="37">I99</f>
        <v>113286.80836539247</v>
      </c>
      <c r="O99" s="475">
        <f t="shared" ref="O99:O130" si="38">IF(N99&lt;&gt;0,+I99-N99,0)</f>
        <v>0</v>
      </c>
      <c r="P99" s="347">
        <f t="shared" ref="P99:P130" si="39">+O99-M99</f>
        <v>0</v>
      </c>
    </row>
    <row r="100" spans="1:16">
      <c r="B100" s="160" t="str">
        <f t="shared" ref="B100:B131" si="40">IF(D100=F99,"","IU")</f>
        <v>IU</v>
      </c>
      <c r="C100" s="470">
        <f>IF(D93="","-",+C99+1)</f>
        <v>2012</v>
      </c>
      <c r="D100" s="471">
        <v>1479908</v>
      </c>
      <c r="E100" s="478">
        <v>28725</v>
      </c>
      <c r="F100" s="571">
        <v>1451183</v>
      </c>
      <c r="G100" s="477">
        <v>1465545.5</v>
      </c>
      <c r="H100" s="537">
        <v>239551.75399863988</v>
      </c>
      <c r="I100" s="537">
        <v>239551.75399863988</v>
      </c>
      <c r="J100" s="476">
        <v>0</v>
      </c>
      <c r="K100" s="572"/>
      <c r="L100" s="538">
        <f t="shared" si="35"/>
        <v>239551.75399863988</v>
      </c>
      <c r="M100" s="573">
        <f t="shared" ref="M100:M105" si="41">IF(L100&lt;&gt;0,+H100-L100,0)</f>
        <v>0</v>
      </c>
      <c r="N100" s="538">
        <f t="shared" si="37"/>
        <v>239551.75399863988</v>
      </c>
      <c r="O100" s="476">
        <f t="shared" ref="O100:O105" si="42">IF(N100&lt;&gt;0,+I100-N100,0)</f>
        <v>0</v>
      </c>
      <c r="P100" s="347">
        <f t="shared" ref="P100:P105" si="43">+O100-M100</f>
        <v>0</v>
      </c>
    </row>
    <row r="101" spans="1:16">
      <c r="B101" s="160" t="str">
        <f t="shared" si="40"/>
        <v/>
      </c>
      <c r="C101" s="470">
        <f>IF(D93="","-",+C100+1)</f>
        <v>2013</v>
      </c>
      <c r="D101" s="471">
        <v>1451183</v>
      </c>
      <c r="E101" s="478">
        <v>28725</v>
      </c>
      <c r="F101" s="571">
        <v>1422458</v>
      </c>
      <c r="G101" s="477">
        <v>1436820.5</v>
      </c>
      <c r="H101" s="537">
        <v>235540.35933406017</v>
      </c>
      <c r="I101" s="537">
        <v>235540.35933406017</v>
      </c>
      <c r="J101" s="476">
        <v>0</v>
      </c>
      <c r="K101" s="572"/>
      <c r="L101" s="538">
        <f t="shared" si="35"/>
        <v>235540.35933406017</v>
      </c>
      <c r="M101" s="573">
        <f t="shared" si="41"/>
        <v>0</v>
      </c>
      <c r="N101" s="538">
        <f t="shared" si="37"/>
        <v>235540.35933406017</v>
      </c>
      <c r="O101" s="476">
        <f t="shared" si="42"/>
        <v>0</v>
      </c>
      <c r="P101" s="347">
        <f t="shared" si="43"/>
        <v>0</v>
      </c>
    </row>
    <row r="102" spans="1:16">
      <c r="B102" s="160" t="str">
        <f t="shared" si="40"/>
        <v>IU</v>
      </c>
      <c r="C102" s="470">
        <f>IF(D93="","-",+C101+1)</f>
        <v>2014</v>
      </c>
      <c r="D102" s="471">
        <v>1332834.6199999999</v>
      </c>
      <c r="E102" s="478">
        <v>27002</v>
      </c>
      <c r="F102" s="571">
        <v>1305832.6199999999</v>
      </c>
      <c r="G102" s="477">
        <v>1319333.6199999999</v>
      </c>
      <c r="H102" s="537">
        <v>212494.91385632072</v>
      </c>
      <c r="I102" s="537">
        <v>212494.91385632072</v>
      </c>
      <c r="J102" s="476">
        <v>0</v>
      </c>
      <c r="K102" s="572"/>
      <c r="L102" s="538">
        <f t="shared" si="35"/>
        <v>212494.91385632072</v>
      </c>
      <c r="M102" s="573">
        <f t="shared" si="41"/>
        <v>0</v>
      </c>
      <c r="N102" s="538">
        <f t="shared" si="37"/>
        <v>212494.91385632072</v>
      </c>
      <c r="O102" s="476">
        <f t="shared" si="42"/>
        <v>0</v>
      </c>
      <c r="P102" s="347">
        <f t="shared" si="43"/>
        <v>0</v>
      </c>
    </row>
    <row r="103" spans="1:16">
      <c r="B103" s="160" t="str">
        <f t="shared" si="40"/>
        <v/>
      </c>
      <c r="C103" s="470">
        <f>IF(D93="","-",+C102+1)</f>
        <v>2015</v>
      </c>
      <c r="D103" s="471">
        <v>1305832.6199999999</v>
      </c>
      <c r="E103" s="478">
        <v>27002</v>
      </c>
      <c r="F103" s="571">
        <v>1278830.6199999999</v>
      </c>
      <c r="G103" s="477">
        <v>1292331.6199999999</v>
      </c>
      <c r="H103" s="537">
        <v>203330.25869072074</v>
      </c>
      <c r="I103" s="537">
        <v>203330.25869072074</v>
      </c>
      <c r="J103" s="476">
        <f t="shared" si="34"/>
        <v>0</v>
      </c>
      <c r="K103" s="572"/>
      <c r="L103" s="538">
        <f t="shared" si="35"/>
        <v>203330.25869072074</v>
      </c>
      <c r="M103" s="573">
        <f t="shared" si="41"/>
        <v>0</v>
      </c>
      <c r="N103" s="538">
        <f t="shared" si="37"/>
        <v>203330.25869072074</v>
      </c>
      <c r="O103" s="476">
        <f t="shared" si="42"/>
        <v>0</v>
      </c>
      <c r="P103" s="347">
        <f t="shared" si="43"/>
        <v>0</v>
      </c>
    </row>
    <row r="104" spans="1:16">
      <c r="B104" s="160" t="str">
        <f t="shared" si="40"/>
        <v/>
      </c>
      <c r="C104" s="470">
        <f>IF(D93="","-",+C103+1)</f>
        <v>2016</v>
      </c>
      <c r="D104" s="471">
        <v>1278830.6199999999</v>
      </c>
      <c r="E104" s="478">
        <v>30524</v>
      </c>
      <c r="F104" s="571">
        <v>1248306.6199999999</v>
      </c>
      <c r="G104" s="477">
        <v>1263568.6199999999</v>
      </c>
      <c r="H104" s="537">
        <v>193417.89490142919</v>
      </c>
      <c r="I104" s="537">
        <v>193417.89490142919</v>
      </c>
      <c r="J104" s="476">
        <f t="shared" si="34"/>
        <v>0</v>
      </c>
      <c r="K104" s="476"/>
      <c r="L104" s="538">
        <f t="shared" si="35"/>
        <v>193417.89490142919</v>
      </c>
      <c r="M104" s="573">
        <f t="shared" si="41"/>
        <v>0</v>
      </c>
      <c r="N104" s="538">
        <f t="shared" si="37"/>
        <v>193417.89490142919</v>
      </c>
      <c r="O104" s="476">
        <f t="shared" si="42"/>
        <v>0</v>
      </c>
      <c r="P104" s="347">
        <f t="shared" si="43"/>
        <v>0</v>
      </c>
    </row>
    <row r="105" spans="1:16">
      <c r="B105" s="160" t="str">
        <f t="shared" si="40"/>
        <v/>
      </c>
      <c r="C105" s="470">
        <f>IF(D93="","-",+C104+1)</f>
        <v>2017</v>
      </c>
      <c r="D105" s="471">
        <v>1248306.6199999999</v>
      </c>
      <c r="E105" s="478">
        <v>30524</v>
      </c>
      <c r="F105" s="571">
        <v>1217782.6199999999</v>
      </c>
      <c r="G105" s="477">
        <v>1233044.6199999999</v>
      </c>
      <c r="H105" s="537">
        <v>186938.81917011391</v>
      </c>
      <c r="I105" s="537">
        <v>186938.81917011391</v>
      </c>
      <c r="J105" s="476">
        <f t="shared" si="34"/>
        <v>0</v>
      </c>
      <c r="K105" s="476"/>
      <c r="L105" s="538">
        <f>H105</f>
        <v>186938.81917011391</v>
      </c>
      <c r="M105" s="573">
        <f t="shared" si="41"/>
        <v>0</v>
      </c>
      <c r="N105" s="538">
        <f>I105</f>
        <v>186938.81917011391</v>
      </c>
      <c r="O105" s="476">
        <f t="shared" si="42"/>
        <v>0</v>
      </c>
      <c r="P105" s="347">
        <f t="shared" si="43"/>
        <v>0</v>
      </c>
    </row>
    <row r="106" spans="1:16">
      <c r="B106" s="160" t="str">
        <f t="shared" si="40"/>
        <v/>
      </c>
      <c r="C106" s="470">
        <f>IF(D93="","-",+C105+1)</f>
        <v>2018</v>
      </c>
      <c r="D106" s="471">
        <v>1217782.6199999999</v>
      </c>
      <c r="E106" s="478">
        <v>32653</v>
      </c>
      <c r="F106" s="571">
        <v>1185129.6199999999</v>
      </c>
      <c r="G106" s="477">
        <v>1201456.1199999999</v>
      </c>
      <c r="H106" s="537">
        <v>156085.27550586959</v>
      </c>
      <c r="I106" s="537">
        <v>156085.27550586959</v>
      </c>
      <c r="J106" s="476">
        <f t="shared" si="34"/>
        <v>0</v>
      </c>
      <c r="K106" s="476"/>
      <c r="L106" s="538">
        <f>H106</f>
        <v>156085.27550586959</v>
      </c>
      <c r="M106" s="573">
        <f t="shared" ref="M106" si="44">IF(L106&lt;&gt;0,+H106-L106,0)</f>
        <v>0</v>
      </c>
      <c r="N106" s="538">
        <f>I106</f>
        <v>156085.27550586959</v>
      </c>
      <c r="O106" s="476">
        <f t="shared" ref="O106" si="45">IF(N106&lt;&gt;0,+I106-N106,0)</f>
        <v>0</v>
      </c>
      <c r="P106" s="347">
        <f t="shared" ref="P106" si="46">+O106-M106</f>
        <v>0</v>
      </c>
    </row>
    <row r="107" spans="1:16">
      <c r="B107" s="160" t="str">
        <f t="shared" si="40"/>
        <v/>
      </c>
      <c r="C107" s="470">
        <f>IF(D93="","-",+C106+1)</f>
        <v>2019</v>
      </c>
      <c r="D107" s="471">
        <v>1185129.6199999999</v>
      </c>
      <c r="E107" s="478">
        <v>34246</v>
      </c>
      <c r="F107" s="571">
        <v>1150883.6199999999</v>
      </c>
      <c r="G107" s="477">
        <v>1168006.6199999999</v>
      </c>
      <c r="H107" s="537">
        <v>154683.86507702887</v>
      </c>
      <c r="I107" s="537">
        <v>154683.86507702887</v>
      </c>
      <c r="J107" s="476">
        <f t="shared" si="34"/>
        <v>0</v>
      </c>
      <c r="K107" s="476"/>
      <c r="L107" s="538">
        <f>H107</f>
        <v>154683.86507702887</v>
      </c>
      <c r="M107" s="573">
        <f t="shared" ref="M107:M108" si="47">IF(L107&lt;&gt;0,+H107-L107,0)</f>
        <v>0</v>
      </c>
      <c r="N107" s="538">
        <f>I107</f>
        <v>154683.86507702887</v>
      </c>
      <c r="O107" s="476">
        <f t="shared" si="38"/>
        <v>0</v>
      </c>
      <c r="P107" s="473">
        <f t="shared" si="39"/>
        <v>0</v>
      </c>
    </row>
    <row r="108" spans="1:16">
      <c r="B108" s="160" t="str">
        <f t="shared" si="40"/>
        <v/>
      </c>
      <c r="C108" s="470">
        <f>IF(D93="","-",+C107+1)</f>
        <v>2020</v>
      </c>
      <c r="D108" s="471">
        <v>1150883.6199999999</v>
      </c>
      <c r="E108" s="478">
        <v>32653</v>
      </c>
      <c r="F108" s="571">
        <v>1118230.6199999999</v>
      </c>
      <c r="G108" s="477">
        <v>1134557.1199999999</v>
      </c>
      <c r="H108" s="537">
        <v>163464.31672839285</v>
      </c>
      <c r="I108" s="537">
        <v>163464.31672839285</v>
      </c>
      <c r="J108" s="476">
        <f t="shared" si="34"/>
        <v>0</v>
      </c>
      <c r="K108" s="476"/>
      <c r="L108" s="538">
        <f>H108</f>
        <v>163464.31672839285</v>
      </c>
      <c r="M108" s="573">
        <f t="shared" si="47"/>
        <v>0</v>
      </c>
      <c r="N108" s="538">
        <f>I108</f>
        <v>163464.31672839285</v>
      </c>
      <c r="O108" s="476">
        <f t="shared" si="38"/>
        <v>0</v>
      </c>
      <c r="P108" s="473">
        <f t="shared" si="39"/>
        <v>0</v>
      </c>
    </row>
    <row r="109" spans="1:16">
      <c r="B109" s="160" t="str">
        <f t="shared" si="40"/>
        <v/>
      </c>
      <c r="C109" s="470">
        <f>IF(D93="","-",+C108+1)</f>
        <v>2021</v>
      </c>
      <c r="D109" s="471">
        <v>1118230.6199999999</v>
      </c>
      <c r="E109" s="478">
        <v>34246</v>
      </c>
      <c r="F109" s="571">
        <v>1083984.6199999999</v>
      </c>
      <c r="G109" s="477">
        <v>1101107.6199999999</v>
      </c>
      <c r="H109" s="537">
        <v>159544.11150802768</v>
      </c>
      <c r="I109" s="537">
        <v>159544.11150802768</v>
      </c>
      <c r="J109" s="476">
        <f t="shared" si="34"/>
        <v>0</v>
      </c>
      <c r="K109" s="476"/>
      <c r="L109" s="538">
        <f>H109</f>
        <v>159544.11150802768</v>
      </c>
      <c r="M109" s="573">
        <f t="shared" ref="M109" si="48">IF(L109&lt;&gt;0,+H109-L109,0)</f>
        <v>0</v>
      </c>
      <c r="N109" s="538">
        <f>I109</f>
        <v>159544.11150802768</v>
      </c>
      <c r="O109" s="476">
        <f t="shared" ref="O109" si="49">IF(N109&lt;&gt;0,+I109-N109,0)</f>
        <v>0</v>
      </c>
      <c r="P109" s="473">
        <f t="shared" ref="P109" si="50">+O109-M109</f>
        <v>0</v>
      </c>
    </row>
    <row r="110" spans="1:16">
      <c r="B110" s="160" t="str">
        <f t="shared" si="40"/>
        <v>IU</v>
      </c>
      <c r="C110" s="631">
        <f>IF(D93="","-",+C109+1)</f>
        <v>2022</v>
      </c>
      <c r="D110" s="345">
        <v>1173608</v>
      </c>
      <c r="E110" s="484">
        <v>38301</v>
      </c>
      <c r="F110" s="483">
        <v>1135307</v>
      </c>
      <c r="G110" s="483">
        <v>1154457.5</v>
      </c>
      <c r="H110" s="486">
        <v>165502.18998219044</v>
      </c>
      <c r="I110" s="540">
        <v>165502.18998219044</v>
      </c>
      <c r="J110" s="476">
        <f t="shared" si="34"/>
        <v>0</v>
      </c>
      <c r="K110" s="476"/>
      <c r="L110" s="485"/>
      <c r="M110" s="476">
        <f t="shared" si="36"/>
        <v>0</v>
      </c>
      <c r="N110" s="485"/>
      <c r="O110" s="476">
        <f t="shared" si="38"/>
        <v>0</v>
      </c>
      <c r="P110" s="476">
        <f t="shared" si="39"/>
        <v>0</v>
      </c>
    </row>
    <row r="111" spans="1:16">
      <c r="B111" s="160" t="str">
        <f t="shared" si="40"/>
        <v>IU</v>
      </c>
      <c r="C111" s="470">
        <f>IF(D93="","-",+C110+1)</f>
        <v>2023</v>
      </c>
      <c r="D111" s="345">
        <f>IF(F110+SUM(E$99:E110)=D$92,F110,D$92-SUM(E$99:E110))</f>
        <v>1045683.6199999999</v>
      </c>
      <c r="E111" s="484">
        <f>IF(+J96&lt;F110,J96,D111)</f>
        <v>34246</v>
      </c>
      <c r="F111" s="483">
        <f t="shared" ref="F111:F130" si="51">+D111-E111</f>
        <v>1011437.6199999999</v>
      </c>
      <c r="G111" s="483">
        <f t="shared" ref="G111:G130" si="52">+(F111+D111)/2</f>
        <v>1028560.6199999999</v>
      </c>
      <c r="H111" s="486">
        <f t="shared" ref="H111:H130" si="53">+J$94*G111+E111</f>
        <v>151288.78575197409</v>
      </c>
      <c r="I111" s="540">
        <f t="shared" ref="I111:I130" si="54">+J$95*G111+E111</f>
        <v>151288.78575197409</v>
      </c>
      <c r="J111" s="476">
        <f t="shared" si="34"/>
        <v>0</v>
      </c>
      <c r="K111" s="476"/>
      <c r="L111" s="485"/>
      <c r="M111" s="476">
        <f t="shared" si="36"/>
        <v>0</v>
      </c>
      <c r="N111" s="485"/>
      <c r="O111" s="476">
        <f t="shared" si="38"/>
        <v>0</v>
      </c>
      <c r="P111" s="476">
        <f t="shared" si="39"/>
        <v>0</v>
      </c>
    </row>
    <row r="112" spans="1:16">
      <c r="B112" s="160" t="str">
        <f t="shared" si="40"/>
        <v/>
      </c>
      <c r="C112" s="470">
        <f>IF(D93="","-",+C111+1)</f>
        <v>2024</v>
      </c>
      <c r="D112" s="345">
        <f>IF(F111+SUM(E$99:E111)=D$92,F111,D$92-SUM(E$99:E111))</f>
        <v>1011437.6199999999</v>
      </c>
      <c r="E112" s="484">
        <f>IF(+J96&lt;F111,J96,D112)</f>
        <v>34246</v>
      </c>
      <c r="F112" s="483">
        <f t="shared" si="51"/>
        <v>977191.61999999988</v>
      </c>
      <c r="G112" s="483">
        <f t="shared" si="52"/>
        <v>994314.61999999988</v>
      </c>
      <c r="H112" s="486">
        <f t="shared" si="53"/>
        <v>147391.83776181855</v>
      </c>
      <c r="I112" s="540">
        <f t="shared" si="54"/>
        <v>147391.83776181855</v>
      </c>
      <c r="J112" s="476">
        <f t="shared" si="34"/>
        <v>0</v>
      </c>
      <c r="K112" s="476"/>
      <c r="L112" s="485"/>
      <c r="M112" s="476">
        <f t="shared" si="36"/>
        <v>0</v>
      </c>
      <c r="N112" s="485"/>
      <c r="O112" s="476">
        <f t="shared" si="38"/>
        <v>0</v>
      </c>
      <c r="P112" s="476">
        <f t="shared" si="39"/>
        <v>0</v>
      </c>
    </row>
    <row r="113" spans="2:16">
      <c r="B113" s="160" t="str">
        <f t="shared" si="40"/>
        <v/>
      </c>
      <c r="C113" s="470">
        <f>IF(D93="","-",+C112+1)</f>
        <v>2025</v>
      </c>
      <c r="D113" s="345">
        <f>IF(F112+SUM(E$99:E112)=D$92,F112,D$92-SUM(E$99:E112))</f>
        <v>977191.61999999988</v>
      </c>
      <c r="E113" s="484">
        <f>IF(+J96&lt;F112,J96,D113)</f>
        <v>34246</v>
      </c>
      <c r="F113" s="483">
        <f t="shared" si="51"/>
        <v>942945.61999999988</v>
      </c>
      <c r="G113" s="483">
        <f t="shared" si="52"/>
        <v>960068.61999999988</v>
      </c>
      <c r="H113" s="486">
        <f t="shared" si="53"/>
        <v>143494.88977166306</v>
      </c>
      <c r="I113" s="540">
        <f t="shared" si="54"/>
        <v>143494.88977166306</v>
      </c>
      <c r="J113" s="476">
        <f t="shared" si="34"/>
        <v>0</v>
      </c>
      <c r="K113" s="476"/>
      <c r="L113" s="485"/>
      <c r="M113" s="476">
        <f t="shared" si="36"/>
        <v>0</v>
      </c>
      <c r="N113" s="485"/>
      <c r="O113" s="476">
        <f t="shared" si="38"/>
        <v>0</v>
      </c>
      <c r="P113" s="476">
        <f t="shared" si="39"/>
        <v>0</v>
      </c>
    </row>
    <row r="114" spans="2:16">
      <c r="B114" s="160" t="str">
        <f t="shared" si="40"/>
        <v/>
      </c>
      <c r="C114" s="470">
        <f>IF(D93="","-",+C113+1)</f>
        <v>2026</v>
      </c>
      <c r="D114" s="345">
        <f>IF(F113+SUM(E$99:E113)=D$92,F113,D$92-SUM(E$99:E113))</f>
        <v>942945.61999999988</v>
      </c>
      <c r="E114" s="484">
        <f>IF(+J96&lt;F113,J96,D114)</f>
        <v>34246</v>
      </c>
      <c r="F114" s="483">
        <f t="shared" si="51"/>
        <v>908699.61999999988</v>
      </c>
      <c r="G114" s="483">
        <f t="shared" si="52"/>
        <v>925822.61999999988</v>
      </c>
      <c r="H114" s="486">
        <f t="shared" si="53"/>
        <v>139597.94178150757</v>
      </c>
      <c r="I114" s="540">
        <f t="shared" si="54"/>
        <v>139597.94178150757</v>
      </c>
      <c r="J114" s="476">
        <f t="shared" si="34"/>
        <v>0</v>
      </c>
      <c r="K114" s="476"/>
      <c r="L114" s="485"/>
      <c r="M114" s="476">
        <f t="shared" si="36"/>
        <v>0</v>
      </c>
      <c r="N114" s="485"/>
      <c r="O114" s="476">
        <f t="shared" si="38"/>
        <v>0</v>
      </c>
      <c r="P114" s="476">
        <f t="shared" si="39"/>
        <v>0</v>
      </c>
    </row>
    <row r="115" spans="2:16">
      <c r="B115" s="160" t="str">
        <f t="shared" si="40"/>
        <v/>
      </c>
      <c r="C115" s="470">
        <f>IF(D93="","-",+C114+1)</f>
        <v>2027</v>
      </c>
      <c r="D115" s="345">
        <f>IF(F114+SUM(E$99:E114)=D$92,F114,D$92-SUM(E$99:E114))</f>
        <v>908699.61999999988</v>
      </c>
      <c r="E115" s="484">
        <f>IF(+J96&lt;F114,J96,D115)</f>
        <v>34246</v>
      </c>
      <c r="F115" s="483">
        <f t="shared" si="51"/>
        <v>874453.61999999988</v>
      </c>
      <c r="G115" s="483">
        <f t="shared" si="52"/>
        <v>891576.61999999988</v>
      </c>
      <c r="H115" s="486">
        <f t="shared" si="53"/>
        <v>135700.99379135203</v>
      </c>
      <c r="I115" s="540">
        <f t="shared" si="54"/>
        <v>135700.99379135203</v>
      </c>
      <c r="J115" s="476">
        <f t="shared" si="34"/>
        <v>0</v>
      </c>
      <c r="K115" s="476"/>
      <c r="L115" s="485"/>
      <c r="M115" s="476">
        <f t="shared" si="36"/>
        <v>0</v>
      </c>
      <c r="N115" s="485"/>
      <c r="O115" s="476">
        <f t="shared" si="38"/>
        <v>0</v>
      </c>
      <c r="P115" s="476">
        <f t="shared" si="39"/>
        <v>0</v>
      </c>
    </row>
    <row r="116" spans="2:16">
      <c r="B116" s="160" t="str">
        <f t="shared" si="40"/>
        <v/>
      </c>
      <c r="C116" s="470">
        <f>IF(D93="","-",+C115+1)</f>
        <v>2028</v>
      </c>
      <c r="D116" s="345">
        <f>IF(F115+SUM(E$99:E115)=D$92,F115,D$92-SUM(E$99:E115))</f>
        <v>874453.61999999988</v>
      </c>
      <c r="E116" s="484">
        <f>IF(+J96&lt;F115,J96,D116)</f>
        <v>34246</v>
      </c>
      <c r="F116" s="483">
        <f t="shared" si="51"/>
        <v>840207.61999999988</v>
      </c>
      <c r="G116" s="483">
        <f t="shared" si="52"/>
        <v>857330.61999999988</v>
      </c>
      <c r="H116" s="486">
        <f t="shared" si="53"/>
        <v>131804.04580119654</v>
      </c>
      <c r="I116" s="540">
        <f t="shared" si="54"/>
        <v>131804.04580119654</v>
      </c>
      <c r="J116" s="476">
        <f t="shared" si="34"/>
        <v>0</v>
      </c>
      <c r="K116" s="476"/>
      <c r="L116" s="485"/>
      <c r="M116" s="476">
        <f t="shared" si="36"/>
        <v>0</v>
      </c>
      <c r="N116" s="485"/>
      <c r="O116" s="476">
        <f t="shared" si="38"/>
        <v>0</v>
      </c>
      <c r="P116" s="476">
        <f t="shared" si="39"/>
        <v>0</v>
      </c>
    </row>
    <row r="117" spans="2:16">
      <c r="B117" s="160" t="str">
        <f t="shared" si="40"/>
        <v/>
      </c>
      <c r="C117" s="470">
        <f>IF(D93="","-",+C116+1)</f>
        <v>2029</v>
      </c>
      <c r="D117" s="345">
        <f>IF(F116+SUM(E$99:E116)=D$92,F116,D$92-SUM(E$99:E116))</f>
        <v>840207.61999999988</v>
      </c>
      <c r="E117" s="484">
        <f>IF(+J96&lt;F116,J96,D117)</f>
        <v>34246</v>
      </c>
      <c r="F117" s="483">
        <f t="shared" si="51"/>
        <v>805961.61999999988</v>
      </c>
      <c r="G117" s="483">
        <f t="shared" si="52"/>
        <v>823084.61999999988</v>
      </c>
      <c r="H117" s="486">
        <f t="shared" si="53"/>
        <v>127907.09781104102</v>
      </c>
      <c r="I117" s="540">
        <f t="shared" si="54"/>
        <v>127907.09781104102</v>
      </c>
      <c r="J117" s="476">
        <f t="shared" si="34"/>
        <v>0</v>
      </c>
      <c r="K117" s="476"/>
      <c r="L117" s="485"/>
      <c r="M117" s="476">
        <f t="shared" si="36"/>
        <v>0</v>
      </c>
      <c r="N117" s="485"/>
      <c r="O117" s="476">
        <f t="shared" si="38"/>
        <v>0</v>
      </c>
      <c r="P117" s="476">
        <f t="shared" si="39"/>
        <v>0</v>
      </c>
    </row>
    <row r="118" spans="2:16">
      <c r="B118" s="160" t="str">
        <f t="shared" si="40"/>
        <v/>
      </c>
      <c r="C118" s="470">
        <f>IF(D93="","-",+C117+1)</f>
        <v>2030</v>
      </c>
      <c r="D118" s="345">
        <f>IF(F117+SUM(E$99:E117)=D$92,F117,D$92-SUM(E$99:E117))</f>
        <v>805961.61999999988</v>
      </c>
      <c r="E118" s="484">
        <f>IF(+J96&lt;F117,J96,D118)</f>
        <v>34246</v>
      </c>
      <c r="F118" s="483">
        <f t="shared" si="51"/>
        <v>771715.61999999988</v>
      </c>
      <c r="G118" s="483">
        <f t="shared" si="52"/>
        <v>788838.61999999988</v>
      </c>
      <c r="H118" s="486">
        <f t="shared" si="53"/>
        <v>124010.14982088552</v>
      </c>
      <c r="I118" s="540">
        <f t="shared" si="54"/>
        <v>124010.14982088552</v>
      </c>
      <c r="J118" s="476">
        <f t="shared" si="34"/>
        <v>0</v>
      </c>
      <c r="K118" s="476"/>
      <c r="L118" s="485"/>
      <c r="M118" s="476">
        <f t="shared" si="36"/>
        <v>0</v>
      </c>
      <c r="N118" s="485"/>
      <c r="O118" s="476">
        <f t="shared" si="38"/>
        <v>0</v>
      </c>
      <c r="P118" s="476">
        <f t="shared" si="39"/>
        <v>0</v>
      </c>
    </row>
    <row r="119" spans="2:16">
      <c r="B119" s="160" t="str">
        <f t="shared" si="40"/>
        <v/>
      </c>
      <c r="C119" s="470">
        <f>IF(D93="","-",+C118+1)</f>
        <v>2031</v>
      </c>
      <c r="D119" s="345">
        <f>IF(F118+SUM(E$99:E118)=D$92,F118,D$92-SUM(E$99:E118))</f>
        <v>771715.61999999988</v>
      </c>
      <c r="E119" s="484">
        <f>IF(+J96&lt;F118,J96,D119)</f>
        <v>34246</v>
      </c>
      <c r="F119" s="483">
        <f t="shared" si="51"/>
        <v>737469.61999999988</v>
      </c>
      <c r="G119" s="483">
        <f t="shared" si="52"/>
        <v>754592.61999999988</v>
      </c>
      <c r="H119" s="486">
        <f t="shared" si="53"/>
        <v>120113.20183073</v>
      </c>
      <c r="I119" s="540">
        <f t="shared" si="54"/>
        <v>120113.20183073</v>
      </c>
      <c r="J119" s="476">
        <f t="shared" si="34"/>
        <v>0</v>
      </c>
      <c r="K119" s="476"/>
      <c r="L119" s="485"/>
      <c r="M119" s="476">
        <f t="shared" si="36"/>
        <v>0</v>
      </c>
      <c r="N119" s="485"/>
      <c r="O119" s="476">
        <f t="shared" si="38"/>
        <v>0</v>
      </c>
      <c r="P119" s="476">
        <f t="shared" si="39"/>
        <v>0</v>
      </c>
    </row>
    <row r="120" spans="2:16">
      <c r="B120" s="160" t="str">
        <f t="shared" si="40"/>
        <v/>
      </c>
      <c r="C120" s="470">
        <f>IF(D93="","-",+C119+1)</f>
        <v>2032</v>
      </c>
      <c r="D120" s="345">
        <f>IF(F119+SUM(E$99:E119)=D$92,F119,D$92-SUM(E$99:E119))</f>
        <v>737469.61999999988</v>
      </c>
      <c r="E120" s="484">
        <f>IF(+J96&lt;F119,J96,D120)</f>
        <v>34246</v>
      </c>
      <c r="F120" s="483">
        <f t="shared" si="51"/>
        <v>703223.61999999988</v>
      </c>
      <c r="G120" s="483">
        <f t="shared" si="52"/>
        <v>720346.61999999988</v>
      </c>
      <c r="H120" s="486">
        <f t="shared" si="53"/>
        <v>116216.2538405745</v>
      </c>
      <c r="I120" s="540">
        <f t="shared" si="54"/>
        <v>116216.2538405745</v>
      </c>
      <c r="J120" s="476">
        <f t="shared" si="34"/>
        <v>0</v>
      </c>
      <c r="K120" s="476"/>
      <c r="L120" s="485"/>
      <c r="M120" s="476">
        <f t="shared" si="36"/>
        <v>0</v>
      </c>
      <c r="N120" s="485"/>
      <c r="O120" s="476">
        <f t="shared" si="38"/>
        <v>0</v>
      </c>
      <c r="P120" s="476">
        <f t="shared" si="39"/>
        <v>0</v>
      </c>
    </row>
    <row r="121" spans="2:16">
      <c r="B121" s="160" t="str">
        <f t="shared" si="40"/>
        <v/>
      </c>
      <c r="C121" s="470">
        <f>IF(D93="","-",+C120+1)</f>
        <v>2033</v>
      </c>
      <c r="D121" s="345">
        <f>IF(F120+SUM(E$99:E120)=D$92,F120,D$92-SUM(E$99:E120))</f>
        <v>703223.61999999988</v>
      </c>
      <c r="E121" s="484">
        <f>IF(+J96&lt;F120,J96,D121)</f>
        <v>34246</v>
      </c>
      <c r="F121" s="483">
        <f t="shared" si="51"/>
        <v>668977.61999999988</v>
      </c>
      <c r="G121" s="483">
        <f t="shared" si="52"/>
        <v>686100.61999999988</v>
      </c>
      <c r="H121" s="486">
        <f t="shared" si="53"/>
        <v>112319.30585041898</v>
      </c>
      <c r="I121" s="540">
        <f t="shared" si="54"/>
        <v>112319.30585041898</v>
      </c>
      <c r="J121" s="476">
        <f t="shared" si="34"/>
        <v>0</v>
      </c>
      <c r="K121" s="476"/>
      <c r="L121" s="485"/>
      <c r="M121" s="476">
        <f t="shared" si="36"/>
        <v>0</v>
      </c>
      <c r="N121" s="485"/>
      <c r="O121" s="476">
        <f t="shared" si="38"/>
        <v>0</v>
      </c>
      <c r="P121" s="476">
        <f t="shared" si="39"/>
        <v>0</v>
      </c>
    </row>
    <row r="122" spans="2:16">
      <c r="B122" s="160" t="str">
        <f t="shared" si="40"/>
        <v/>
      </c>
      <c r="C122" s="470">
        <f>IF(D93="","-",+C121+1)</f>
        <v>2034</v>
      </c>
      <c r="D122" s="345">
        <f>IF(F121+SUM(E$99:E121)=D$92,F121,D$92-SUM(E$99:E121))</f>
        <v>668977.61999999988</v>
      </c>
      <c r="E122" s="484">
        <f>IF(+J96&lt;F121,J96,D122)</f>
        <v>34246</v>
      </c>
      <c r="F122" s="483">
        <f t="shared" si="51"/>
        <v>634731.61999999988</v>
      </c>
      <c r="G122" s="483">
        <f t="shared" si="52"/>
        <v>651854.61999999988</v>
      </c>
      <c r="H122" s="486">
        <f t="shared" si="53"/>
        <v>108422.35786026348</v>
      </c>
      <c r="I122" s="540">
        <f t="shared" si="54"/>
        <v>108422.35786026348</v>
      </c>
      <c r="J122" s="476">
        <f t="shared" si="34"/>
        <v>0</v>
      </c>
      <c r="K122" s="476"/>
      <c r="L122" s="485"/>
      <c r="M122" s="476">
        <f t="shared" si="36"/>
        <v>0</v>
      </c>
      <c r="N122" s="485"/>
      <c r="O122" s="476">
        <f t="shared" si="38"/>
        <v>0</v>
      </c>
      <c r="P122" s="476">
        <f t="shared" si="39"/>
        <v>0</v>
      </c>
    </row>
    <row r="123" spans="2:16">
      <c r="B123" s="160" t="str">
        <f t="shared" si="40"/>
        <v/>
      </c>
      <c r="C123" s="470">
        <f>IF(D93="","-",+C122+1)</f>
        <v>2035</v>
      </c>
      <c r="D123" s="345">
        <f>IF(F122+SUM(E$99:E122)=D$92,F122,D$92-SUM(E$99:E122))</f>
        <v>634731.61999999988</v>
      </c>
      <c r="E123" s="484">
        <f>IF(+J96&lt;F122,J96,D123)</f>
        <v>34246</v>
      </c>
      <c r="F123" s="483">
        <f t="shared" si="51"/>
        <v>600485.61999999988</v>
      </c>
      <c r="G123" s="483">
        <f t="shared" si="52"/>
        <v>617608.61999999988</v>
      </c>
      <c r="H123" s="486">
        <f t="shared" si="53"/>
        <v>104525.40987010796</v>
      </c>
      <c r="I123" s="540">
        <f t="shared" si="54"/>
        <v>104525.40987010796</v>
      </c>
      <c r="J123" s="476">
        <f t="shared" si="34"/>
        <v>0</v>
      </c>
      <c r="K123" s="476"/>
      <c r="L123" s="485"/>
      <c r="M123" s="476">
        <f t="shared" si="36"/>
        <v>0</v>
      </c>
      <c r="N123" s="485"/>
      <c r="O123" s="476">
        <f t="shared" si="38"/>
        <v>0</v>
      </c>
      <c r="P123" s="476">
        <f t="shared" si="39"/>
        <v>0</v>
      </c>
    </row>
    <row r="124" spans="2:16">
      <c r="B124" s="160" t="str">
        <f t="shared" si="40"/>
        <v/>
      </c>
      <c r="C124" s="470">
        <f>IF(D93="","-",+C123+1)</f>
        <v>2036</v>
      </c>
      <c r="D124" s="345">
        <f>IF(F123+SUM(E$99:E123)=D$92,F123,D$92-SUM(E$99:E123))</f>
        <v>600485.61999999988</v>
      </c>
      <c r="E124" s="484">
        <f>IF(+J96&lt;F123,J96,D124)</f>
        <v>34246</v>
      </c>
      <c r="F124" s="483">
        <f t="shared" si="51"/>
        <v>566239.61999999988</v>
      </c>
      <c r="G124" s="483">
        <f t="shared" si="52"/>
        <v>583362.61999999988</v>
      </c>
      <c r="H124" s="486">
        <f t="shared" si="53"/>
        <v>100628.46187995246</v>
      </c>
      <c r="I124" s="540">
        <f t="shared" si="54"/>
        <v>100628.46187995246</v>
      </c>
      <c r="J124" s="476">
        <f t="shared" si="34"/>
        <v>0</v>
      </c>
      <c r="K124" s="476"/>
      <c r="L124" s="485"/>
      <c r="M124" s="476">
        <f t="shared" si="36"/>
        <v>0</v>
      </c>
      <c r="N124" s="485"/>
      <c r="O124" s="476">
        <f t="shared" si="38"/>
        <v>0</v>
      </c>
      <c r="P124" s="476">
        <f t="shared" si="39"/>
        <v>0</v>
      </c>
    </row>
    <row r="125" spans="2:16">
      <c r="B125" s="160" t="str">
        <f t="shared" si="40"/>
        <v/>
      </c>
      <c r="C125" s="470">
        <f>IF(D93="","-",+C124+1)</f>
        <v>2037</v>
      </c>
      <c r="D125" s="345">
        <f>IF(F124+SUM(E$99:E124)=D$92,F124,D$92-SUM(E$99:E124))</f>
        <v>566239.61999999988</v>
      </c>
      <c r="E125" s="484">
        <f>IF(+J96&lt;F124,J96,D125)</f>
        <v>34246</v>
      </c>
      <c r="F125" s="483">
        <f t="shared" si="51"/>
        <v>531993.61999999988</v>
      </c>
      <c r="G125" s="483">
        <f t="shared" si="52"/>
        <v>549116.61999999988</v>
      </c>
      <c r="H125" s="486">
        <f t="shared" si="53"/>
        <v>96731.513889796945</v>
      </c>
      <c r="I125" s="540">
        <f t="shared" si="54"/>
        <v>96731.513889796945</v>
      </c>
      <c r="J125" s="476">
        <f t="shared" si="34"/>
        <v>0</v>
      </c>
      <c r="K125" s="476"/>
      <c r="L125" s="485"/>
      <c r="M125" s="476">
        <f t="shared" si="36"/>
        <v>0</v>
      </c>
      <c r="N125" s="485"/>
      <c r="O125" s="476">
        <f t="shared" si="38"/>
        <v>0</v>
      </c>
      <c r="P125" s="476">
        <f t="shared" si="39"/>
        <v>0</v>
      </c>
    </row>
    <row r="126" spans="2:16">
      <c r="B126" s="160" t="str">
        <f t="shared" si="40"/>
        <v/>
      </c>
      <c r="C126" s="470">
        <f>IF(D93="","-",+C125+1)</f>
        <v>2038</v>
      </c>
      <c r="D126" s="345">
        <f>IF(F125+SUM(E$99:E125)=D$92,F125,D$92-SUM(E$99:E125))</f>
        <v>531993.61999999988</v>
      </c>
      <c r="E126" s="484">
        <f>IF(+J96&lt;F125,J96,D126)</f>
        <v>34246</v>
      </c>
      <c r="F126" s="483">
        <f t="shared" si="51"/>
        <v>497747.61999999988</v>
      </c>
      <c r="G126" s="483">
        <f t="shared" si="52"/>
        <v>514870.61999999988</v>
      </c>
      <c r="H126" s="486">
        <f t="shared" si="53"/>
        <v>92834.565899641428</v>
      </c>
      <c r="I126" s="540">
        <f t="shared" si="54"/>
        <v>92834.565899641428</v>
      </c>
      <c r="J126" s="476">
        <f t="shared" si="34"/>
        <v>0</v>
      </c>
      <c r="K126" s="476"/>
      <c r="L126" s="485"/>
      <c r="M126" s="476">
        <f t="shared" si="36"/>
        <v>0</v>
      </c>
      <c r="N126" s="485"/>
      <c r="O126" s="476">
        <f t="shared" si="38"/>
        <v>0</v>
      </c>
      <c r="P126" s="476">
        <f t="shared" si="39"/>
        <v>0</v>
      </c>
    </row>
    <row r="127" spans="2:16">
      <c r="B127" s="160" t="str">
        <f t="shared" si="40"/>
        <v/>
      </c>
      <c r="C127" s="470">
        <f>IF(D93="","-",+C126+1)</f>
        <v>2039</v>
      </c>
      <c r="D127" s="345">
        <f>IF(F126+SUM(E$99:E126)=D$92,F126,D$92-SUM(E$99:E126))</f>
        <v>497747.61999999988</v>
      </c>
      <c r="E127" s="484">
        <f>IF(+J96&lt;F126,J96,D127)</f>
        <v>34246</v>
      </c>
      <c r="F127" s="483">
        <f t="shared" si="51"/>
        <v>463501.61999999988</v>
      </c>
      <c r="G127" s="483">
        <f t="shared" si="52"/>
        <v>480624.61999999988</v>
      </c>
      <c r="H127" s="486">
        <f t="shared" si="53"/>
        <v>88937.617909485925</v>
      </c>
      <c r="I127" s="540">
        <f t="shared" si="54"/>
        <v>88937.617909485925</v>
      </c>
      <c r="J127" s="476">
        <f t="shared" si="34"/>
        <v>0</v>
      </c>
      <c r="K127" s="476"/>
      <c r="L127" s="485"/>
      <c r="M127" s="476">
        <f t="shared" si="36"/>
        <v>0</v>
      </c>
      <c r="N127" s="485"/>
      <c r="O127" s="476">
        <f t="shared" si="38"/>
        <v>0</v>
      </c>
      <c r="P127" s="476">
        <f t="shared" si="39"/>
        <v>0</v>
      </c>
    </row>
    <row r="128" spans="2:16">
      <c r="B128" s="160" t="str">
        <f t="shared" si="40"/>
        <v/>
      </c>
      <c r="C128" s="470">
        <f>IF(D93="","-",+C127+1)</f>
        <v>2040</v>
      </c>
      <c r="D128" s="345">
        <f>IF(F127+SUM(E$99:E127)=D$92,F127,D$92-SUM(E$99:E127))</f>
        <v>463501.61999999988</v>
      </c>
      <c r="E128" s="484">
        <f>IF(+J96&lt;F127,J96,D128)</f>
        <v>34246</v>
      </c>
      <c r="F128" s="483">
        <f t="shared" si="51"/>
        <v>429255.61999999988</v>
      </c>
      <c r="G128" s="483">
        <f t="shared" si="52"/>
        <v>446378.61999999988</v>
      </c>
      <c r="H128" s="486">
        <f t="shared" si="53"/>
        <v>85040.669919330423</v>
      </c>
      <c r="I128" s="540">
        <f t="shared" si="54"/>
        <v>85040.669919330423</v>
      </c>
      <c r="J128" s="476">
        <f t="shared" si="34"/>
        <v>0</v>
      </c>
      <c r="K128" s="476"/>
      <c r="L128" s="485"/>
      <c r="M128" s="476">
        <f t="shared" si="36"/>
        <v>0</v>
      </c>
      <c r="N128" s="485"/>
      <c r="O128" s="476">
        <f t="shared" si="38"/>
        <v>0</v>
      </c>
      <c r="P128" s="476">
        <f t="shared" si="39"/>
        <v>0</v>
      </c>
    </row>
    <row r="129" spans="2:16">
      <c r="B129" s="160" t="str">
        <f t="shared" si="40"/>
        <v/>
      </c>
      <c r="C129" s="470">
        <f>IF(D93="","-",+C128+1)</f>
        <v>2041</v>
      </c>
      <c r="D129" s="345">
        <f>IF(F128+SUM(E$99:E128)=D$92,F128,D$92-SUM(E$99:E128))</f>
        <v>429255.61999999988</v>
      </c>
      <c r="E129" s="484">
        <f t="shared" ref="E129:E154" si="55">IF(+J$96&lt;F128,J$96,D129)</f>
        <v>34246</v>
      </c>
      <c r="F129" s="483">
        <f t="shared" si="51"/>
        <v>395009.61999999988</v>
      </c>
      <c r="G129" s="483">
        <f t="shared" si="52"/>
        <v>412132.61999999988</v>
      </c>
      <c r="H129" s="486">
        <f t="shared" si="53"/>
        <v>81143.721929174906</v>
      </c>
      <c r="I129" s="540">
        <f t="shared" si="54"/>
        <v>81143.721929174906</v>
      </c>
      <c r="J129" s="476">
        <f t="shared" si="34"/>
        <v>0</v>
      </c>
      <c r="K129" s="476"/>
      <c r="L129" s="485"/>
      <c r="M129" s="476">
        <f t="shared" si="36"/>
        <v>0</v>
      </c>
      <c r="N129" s="485"/>
      <c r="O129" s="476">
        <f t="shared" si="38"/>
        <v>0</v>
      </c>
      <c r="P129" s="476">
        <f t="shared" si="39"/>
        <v>0</v>
      </c>
    </row>
    <row r="130" spans="2:16">
      <c r="B130" s="160" t="str">
        <f t="shared" si="40"/>
        <v/>
      </c>
      <c r="C130" s="470">
        <f>IF(D93="","-",+C129+1)</f>
        <v>2042</v>
      </c>
      <c r="D130" s="345">
        <f>IF(F129+SUM(E$99:E129)=D$92,F129,D$92-SUM(E$99:E129))</f>
        <v>395009.61999999988</v>
      </c>
      <c r="E130" s="484">
        <f t="shared" si="55"/>
        <v>34246</v>
      </c>
      <c r="F130" s="483">
        <f t="shared" si="51"/>
        <v>360763.61999999988</v>
      </c>
      <c r="G130" s="483">
        <f t="shared" si="52"/>
        <v>377886.61999999988</v>
      </c>
      <c r="H130" s="486">
        <f t="shared" si="53"/>
        <v>77246.773939019389</v>
      </c>
      <c r="I130" s="540">
        <f t="shared" si="54"/>
        <v>77246.773939019389</v>
      </c>
      <c r="J130" s="476">
        <f t="shared" si="34"/>
        <v>0</v>
      </c>
      <c r="K130" s="476"/>
      <c r="L130" s="485"/>
      <c r="M130" s="476">
        <f t="shared" si="36"/>
        <v>0</v>
      </c>
      <c r="N130" s="485"/>
      <c r="O130" s="476">
        <f t="shared" si="38"/>
        <v>0</v>
      </c>
      <c r="P130" s="476">
        <f t="shared" si="39"/>
        <v>0</v>
      </c>
    </row>
    <row r="131" spans="2:16">
      <c r="B131" s="160" t="str">
        <f t="shared" si="40"/>
        <v/>
      </c>
      <c r="C131" s="470">
        <f>IF(D93="","-",+C130+1)</f>
        <v>2043</v>
      </c>
      <c r="D131" s="345">
        <f>IF(F130+SUM(E$99:E130)=D$92,F130,D$92-SUM(E$99:E130))</f>
        <v>360763.61999999988</v>
      </c>
      <c r="E131" s="484">
        <f t="shared" si="55"/>
        <v>34246</v>
      </c>
      <c r="F131" s="483">
        <f t="shared" ref="F131:F154" si="56">+D131-E131</f>
        <v>326517.61999999988</v>
      </c>
      <c r="G131" s="483">
        <f t="shared" ref="G131:G154" si="57">+(F131+D131)/2</f>
        <v>343640.61999999988</v>
      </c>
      <c r="H131" s="486">
        <f t="shared" ref="H131:H154" si="58">+J$94*G131+E131</f>
        <v>73349.825948863887</v>
      </c>
      <c r="I131" s="540">
        <f t="shared" ref="I131:I154" si="59">+J$95*G131+E131</f>
        <v>73349.825948863887</v>
      </c>
      <c r="J131" s="476">
        <f t="shared" ref="J131:J154" si="60">+I541-H541</f>
        <v>0</v>
      </c>
      <c r="K131" s="476"/>
      <c r="L131" s="485"/>
      <c r="M131" s="476">
        <f t="shared" ref="M131:M154" si="61">IF(L541&lt;&gt;0,+H541-L541,0)</f>
        <v>0</v>
      </c>
      <c r="N131" s="485"/>
      <c r="O131" s="476">
        <f t="shared" ref="O131:O154" si="62">IF(N541&lt;&gt;0,+I541-N541,0)</f>
        <v>0</v>
      </c>
      <c r="P131" s="476">
        <f t="shared" ref="P131:P154" si="63">+O541-M541</f>
        <v>0</v>
      </c>
    </row>
    <row r="132" spans="2:16">
      <c r="B132" s="160" t="str">
        <f t="shared" ref="B132:B154" si="64">IF(D132=F131,"","IU")</f>
        <v/>
      </c>
      <c r="C132" s="470">
        <f>IF(D93="","-",+C131+1)</f>
        <v>2044</v>
      </c>
      <c r="D132" s="345">
        <f>IF(F131+SUM(E$99:E131)=D$92,F131,D$92-SUM(E$99:E131))</f>
        <v>326517.61999999988</v>
      </c>
      <c r="E132" s="484">
        <f t="shared" si="55"/>
        <v>34246</v>
      </c>
      <c r="F132" s="483">
        <f t="shared" si="56"/>
        <v>292271.61999999988</v>
      </c>
      <c r="G132" s="483">
        <f t="shared" si="57"/>
        <v>309394.61999999988</v>
      </c>
      <c r="H132" s="486">
        <f t="shared" si="58"/>
        <v>69452.877958708385</v>
      </c>
      <c r="I132" s="540">
        <f t="shared" si="59"/>
        <v>69452.877958708385</v>
      </c>
      <c r="J132" s="476">
        <f t="shared" si="60"/>
        <v>0</v>
      </c>
      <c r="K132" s="476"/>
      <c r="L132" s="485"/>
      <c r="M132" s="476">
        <f t="shared" si="61"/>
        <v>0</v>
      </c>
      <c r="N132" s="485"/>
      <c r="O132" s="476">
        <f t="shared" si="62"/>
        <v>0</v>
      </c>
      <c r="P132" s="476">
        <f t="shared" si="63"/>
        <v>0</v>
      </c>
    </row>
    <row r="133" spans="2:16">
      <c r="B133" s="160" t="str">
        <f t="shared" si="64"/>
        <v/>
      </c>
      <c r="C133" s="470">
        <f>IF(D93="","-",+C132+1)</f>
        <v>2045</v>
      </c>
      <c r="D133" s="345">
        <f>IF(F132+SUM(E$99:E132)=D$92,F132,D$92-SUM(E$99:E132))</f>
        <v>292271.61999999988</v>
      </c>
      <c r="E133" s="484">
        <f t="shared" si="55"/>
        <v>34246</v>
      </c>
      <c r="F133" s="483">
        <f t="shared" si="56"/>
        <v>258025.61999999988</v>
      </c>
      <c r="G133" s="483">
        <f t="shared" si="57"/>
        <v>275148.61999999988</v>
      </c>
      <c r="H133" s="486">
        <f t="shared" si="58"/>
        <v>65555.929968552868</v>
      </c>
      <c r="I133" s="540">
        <f t="shared" si="59"/>
        <v>65555.929968552868</v>
      </c>
      <c r="J133" s="476">
        <f t="shared" si="60"/>
        <v>0</v>
      </c>
      <c r="K133" s="476"/>
      <c r="L133" s="485"/>
      <c r="M133" s="476">
        <f t="shared" si="61"/>
        <v>0</v>
      </c>
      <c r="N133" s="485"/>
      <c r="O133" s="476">
        <f t="shared" si="62"/>
        <v>0</v>
      </c>
      <c r="P133" s="476">
        <f t="shared" si="63"/>
        <v>0</v>
      </c>
    </row>
    <row r="134" spans="2:16">
      <c r="B134" s="160" t="str">
        <f t="shared" si="64"/>
        <v/>
      </c>
      <c r="C134" s="470">
        <f>IF(D93="","-",+C133+1)</f>
        <v>2046</v>
      </c>
      <c r="D134" s="345">
        <f>IF(F133+SUM(E$99:E133)=D$92,F133,D$92-SUM(E$99:E133))</f>
        <v>258025.61999999988</v>
      </c>
      <c r="E134" s="484">
        <f t="shared" si="55"/>
        <v>34246</v>
      </c>
      <c r="F134" s="483">
        <f t="shared" si="56"/>
        <v>223779.61999999988</v>
      </c>
      <c r="G134" s="483">
        <f t="shared" si="57"/>
        <v>240902.61999999988</v>
      </c>
      <c r="H134" s="486">
        <f t="shared" si="58"/>
        <v>61658.981978397358</v>
      </c>
      <c r="I134" s="540">
        <f t="shared" si="59"/>
        <v>61658.981978397358</v>
      </c>
      <c r="J134" s="476">
        <f t="shared" si="60"/>
        <v>0</v>
      </c>
      <c r="K134" s="476"/>
      <c r="L134" s="485"/>
      <c r="M134" s="476">
        <f t="shared" si="61"/>
        <v>0</v>
      </c>
      <c r="N134" s="485"/>
      <c r="O134" s="476">
        <f t="shared" si="62"/>
        <v>0</v>
      </c>
      <c r="P134" s="476">
        <f t="shared" si="63"/>
        <v>0</v>
      </c>
    </row>
    <row r="135" spans="2:16">
      <c r="B135" s="160" t="str">
        <f t="shared" si="64"/>
        <v/>
      </c>
      <c r="C135" s="470">
        <f>IF(D93="","-",+C134+1)</f>
        <v>2047</v>
      </c>
      <c r="D135" s="345">
        <f>IF(F134+SUM(E$99:E134)=D$92,F134,D$92-SUM(E$99:E134))</f>
        <v>223779.61999999988</v>
      </c>
      <c r="E135" s="484">
        <f t="shared" si="55"/>
        <v>34246</v>
      </c>
      <c r="F135" s="483">
        <f t="shared" si="56"/>
        <v>189533.61999999988</v>
      </c>
      <c r="G135" s="483">
        <f t="shared" si="57"/>
        <v>206656.61999999988</v>
      </c>
      <c r="H135" s="486">
        <f t="shared" si="58"/>
        <v>57762.033988241848</v>
      </c>
      <c r="I135" s="540">
        <f t="shared" si="59"/>
        <v>57762.033988241848</v>
      </c>
      <c r="J135" s="476">
        <f t="shared" si="60"/>
        <v>0</v>
      </c>
      <c r="K135" s="476"/>
      <c r="L135" s="485"/>
      <c r="M135" s="476">
        <f t="shared" si="61"/>
        <v>0</v>
      </c>
      <c r="N135" s="485"/>
      <c r="O135" s="476">
        <f t="shared" si="62"/>
        <v>0</v>
      </c>
      <c r="P135" s="476">
        <f t="shared" si="63"/>
        <v>0</v>
      </c>
    </row>
    <row r="136" spans="2:16">
      <c r="B136" s="160" t="str">
        <f t="shared" si="64"/>
        <v/>
      </c>
      <c r="C136" s="470">
        <f>IF(D93="","-",+C135+1)</f>
        <v>2048</v>
      </c>
      <c r="D136" s="345">
        <f>IF(F135+SUM(E$99:E135)=D$92,F135,D$92-SUM(E$99:E135))</f>
        <v>189533.61999999988</v>
      </c>
      <c r="E136" s="484">
        <f t="shared" si="55"/>
        <v>34246</v>
      </c>
      <c r="F136" s="483">
        <f t="shared" si="56"/>
        <v>155287.61999999988</v>
      </c>
      <c r="G136" s="483">
        <f t="shared" si="57"/>
        <v>172410.61999999988</v>
      </c>
      <c r="H136" s="486">
        <f t="shared" si="58"/>
        <v>53865.085998086346</v>
      </c>
      <c r="I136" s="540">
        <f t="shared" si="59"/>
        <v>53865.085998086346</v>
      </c>
      <c r="J136" s="476">
        <f t="shared" si="60"/>
        <v>0</v>
      </c>
      <c r="K136" s="476"/>
      <c r="L136" s="485"/>
      <c r="M136" s="476">
        <f t="shared" si="61"/>
        <v>0</v>
      </c>
      <c r="N136" s="485"/>
      <c r="O136" s="476">
        <f t="shared" si="62"/>
        <v>0</v>
      </c>
      <c r="P136" s="476">
        <f t="shared" si="63"/>
        <v>0</v>
      </c>
    </row>
    <row r="137" spans="2:16">
      <c r="B137" s="160" t="str">
        <f t="shared" si="64"/>
        <v/>
      </c>
      <c r="C137" s="470">
        <f>IF(D93="","-",+C136+1)</f>
        <v>2049</v>
      </c>
      <c r="D137" s="345">
        <f>IF(F136+SUM(E$99:E136)=D$92,F136,D$92-SUM(E$99:E136))</f>
        <v>155287.61999999988</v>
      </c>
      <c r="E137" s="484">
        <f t="shared" si="55"/>
        <v>34246</v>
      </c>
      <c r="F137" s="483">
        <f t="shared" si="56"/>
        <v>121041.61999999988</v>
      </c>
      <c r="G137" s="483">
        <f t="shared" si="57"/>
        <v>138164.61999999988</v>
      </c>
      <c r="H137" s="486">
        <f t="shared" si="58"/>
        <v>49968.138007930829</v>
      </c>
      <c r="I137" s="540">
        <f t="shared" si="59"/>
        <v>49968.138007930829</v>
      </c>
      <c r="J137" s="476">
        <f t="shared" si="60"/>
        <v>0</v>
      </c>
      <c r="K137" s="476"/>
      <c r="L137" s="485"/>
      <c r="M137" s="476">
        <f t="shared" si="61"/>
        <v>0</v>
      </c>
      <c r="N137" s="485"/>
      <c r="O137" s="476">
        <f t="shared" si="62"/>
        <v>0</v>
      </c>
      <c r="P137" s="476">
        <f t="shared" si="63"/>
        <v>0</v>
      </c>
    </row>
    <row r="138" spans="2:16">
      <c r="B138" s="160" t="str">
        <f t="shared" si="64"/>
        <v/>
      </c>
      <c r="C138" s="470">
        <f>IF(D93="","-",+C137+1)</f>
        <v>2050</v>
      </c>
      <c r="D138" s="345">
        <f>IF(F137+SUM(E$99:E137)=D$92,F137,D$92-SUM(E$99:E137))</f>
        <v>121041.61999999988</v>
      </c>
      <c r="E138" s="484">
        <f t="shared" si="55"/>
        <v>34246</v>
      </c>
      <c r="F138" s="483">
        <f t="shared" si="56"/>
        <v>86795.619999999879</v>
      </c>
      <c r="G138" s="483">
        <f t="shared" si="57"/>
        <v>103918.61999999988</v>
      </c>
      <c r="H138" s="486">
        <f t="shared" si="58"/>
        <v>46071.19001777532</v>
      </c>
      <c r="I138" s="540">
        <f t="shared" si="59"/>
        <v>46071.19001777532</v>
      </c>
      <c r="J138" s="476">
        <f t="shared" si="60"/>
        <v>0</v>
      </c>
      <c r="K138" s="476"/>
      <c r="L138" s="485"/>
      <c r="M138" s="476">
        <f t="shared" si="61"/>
        <v>0</v>
      </c>
      <c r="N138" s="485"/>
      <c r="O138" s="476">
        <f t="shared" si="62"/>
        <v>0</v>
      </c>
      <c r="P138" s="476">
        <f t="shared" si="63"/>
        <v>0</v>
      </c>
    </row>
    <row r="139" spans="2:16">
      <c r="B139" s="160" t="str">
        <f t="shared" si="64"/>
        <v/>
      </c>
      <c r="C139" s="470">
        <f>IF(D93="","-",+C138+1)</f>
        <v>2051</v>
      </c>
      <c r="D139" s="345">
        <f>IF(F138+SUM(E$99:E138)=D$92,F138,D$92-SUM(E$99:E138))</f>
        <v>86795.619999999879</v>
      </c>
      <c r="E139" s="484">
        <f t="shared" si="55"/>
        <v>34246</v>
      </c>
      <c r="F139" s="483">
        <f t="shared" si="56"/>
        <v>52549.619999999879</v>
      </c>
      <c r="G139" s="483">
        <f t="shared" si="57"/>
        <v>69672.619999999879</v>
      </c>
      <c r="H139" s="486">
        <f t="shared" si="58"/>
        <v>42174.24202761981</v>
      </c>
      <c r="I139" s="540">
        <f t="shared" si="59"/>
        <v>42174.24202761981</v>
      </c>
      <c r="J139" s="476">
        <f t="shared" si="60"/>
        <v>0</v>
      </c>
      <c r="K139" s="476"/>
      <c r="L139" s="485"/>
      <c r="M139" s="476">
        <f t="shared" si="61"/>
        <v>0</v>
      </c>
      <c r="N139" s="485"/>
      <c r="O139" s="476">
        <f t="shared" si="62"/>
        <v>0</v>
      </c>
      <c r="P139" s="476">
        <f t="shared" si="63"/>
        <v>0</v>
      </c>
    </row>
    <row r="140" spans="2:16">
      <c r="B140" s="160" t="str">
        <f t="shared" si="64"/>
        <v/>
      </c>
      <c r="C140" s="470">
        <f>IF(D93="","-",+C139+1)</f>
        <v>2052</v>
      </c>
      <c r="D140" s="345">
        <f>IF(F139+SUM(E$99:E139)=D$92,F139,D$92-SUM(E$99:E139))</f>
        <v>52549.619999999879</v>
      </c>
      <c r="E140" s="484">
        <f t="shared" si="55"/>
        <v>34246</v>
      </c>
      <c r="F140" s="483">
        <f t="shared" si="56"/>
        <v>18303.619999999879</v>
      </c>
      <c r="G140" s="483">
        <f t="shared" si="57"/>
        <v>35426.619999999879</v>
      </c>
      <c r="H140" s="486">
        <f t="shared" si="58"/>
        <v>38277.2940374643</v>
      </c>
      <c r="I140" s="540">
        <f t="shared" si="59"/>
        <v>38277.2940374643</v>
      </c>
      <c r="J140" s="476">
        <f t="shared" si="60"/>
        <v>0</v>
      </c>
      <c r="K140" s="476"/>
      <c r="L140" s="485"/>
      <c r="M140" s="476">
        <f t="shared" si="61"/>
        <v>0</v>
      </c>
      <c r="N140" s="485"/>
      <c r="O140" s="476">
        <f t="shared" si="62"/>
        <v>0</v>
      </c>
      <c r="P140" s="476">
        <f t="shared" si="63"/>
        <v>0</v>
      </c>
    </row>
    <row r="141" spans="2:16">
      <c r="B141" s="160" t="str">
        <f t="shared" si="64"/>
        <v/>
      </c>
      <c r="C141" s="470">
        <f>IF(D93="","-",+C140+1)</f>
        <v>2053</v>
      </c>
      <c r="D141" s="345">
        <f>IF(F140+SUM(E$99:E140)=D$92,F140,D$92-SUM(E$99:E140))</f>
        <v>18303.619999999879</v>
      </c>
      <c r="E141" s="484">
        <f t="shared" si="55"/>
        <v>18303.619999999879</v>
      </c>
      <c r="F141" s="483">
        <f t="shared" si="56"/>
        <v>0</v>
      </c>
      <c r="G141" s="483">
        <f t="shared" si="57"/>
        <v>9151.8099999999395</v>
      </c>
      <c r="H141" s="486">
        <f t="shared" si="58"/>
        <v>19345.030021193154</v>
      </c>
      <c r="I141" s="540">
        <f t="shared" si="59"/>
        <v>19345.030021193154</v>
      </c>
      <c r="J141" s="476">
        <f t="shared" si="60"/>
        <v>0</v>
      </c>
      <c r="K141" s="476"/>
      <c r="L141" s="485"/>
      <c r="M141" s="476">
        <f t="shared" si="61"/>
        <v>0</v>
      </c>
      <c r="N141" s="485"/>
      <c r="O141" s="476">
        <f t="shared" si="62"/>
        <v>0</v>
      </c>
      <c r="P141" s="476">
        <f t="shared" si="63"/>
        <v>0</v>
      </c>
    </row>
    <row r="142" spans="2:16">
      <c r="B142" s="160" t="str">
        <f t="shared" si="64"/>
        <v/>
      </c>
      <c r="C142" s="470">
        <f>IF(D93="","-",+C141+1)</f>
        <v>2054</v>
      </c>
      <c r="D142" s="345">
        <f>IF(F141+SUM(E$99:E141)=D$92,F141,D$92-SUM(E$99:E141))</f>
        <v>0</v>
      </c>
      <c r="E142" s="484">
        <f t="shared" si="55"/>
        <v>0</v>
      </c>
      <c r="F142" s="483">
        <f t="shared" si="56"/>
        <v>0</v>
      </c>
      <c r="G142" s="483">
        <f t="shared" si="57"/>
        <v>0</v>
      </c>
      <c r="H142" s="486">
        <f t="shared" si="58"/>
        <v>0</v>
      </c>
      <c r="I142" s="540">
        <f t="shared" si="59"/>
        <v>0</v>
      </c>
      <c r="J142" s="476">
        <f t="shared" si="60"/>
        <v>0</v>
      </c>
      <c r="K142" s="476"/>
      <c r="L142" s="485"/>
      <c r="M142" s="476">
        <f t="shared" si="61"/>
        <v>0</v>
      </c>
      <c r="N142" s="485"/>
      <c r="O142" s="476">
        <f t="shared" si="62"/>
        <v>0</v>
      </c>
      <c r="P142" s="476">
        <f t="shared" si="63"/>
        <v>0</v>
      </c>
    </row>
    <row r="143" spans="2:16">
      <c r="B143" s="160" t="str">
        <f t="shared" si="64"/>
        <v/>
      </c>
      <c r="C143" s="470">
        <f>IF(D93="","-",+C142+1)</f>
        <v>2055</v>
      </c>
      <c r="D143" s="345">
        <f>IF(F142+SUM(E$99:E142)=D$92,F142,D$92-SUM(E$99:E142))</f>
        <v>0</v>
      </c>
      <c r="E143" s="484">
        <f t="shared" si="55"/>
        <v>0</v>
      </c>
      <c r="F143" s="483">
        <f t="shared" si="56"/>
        <v>0</v>
      </c>
      <c r="G143" s="483">
        <f t="shared" si="57"/>
        <v>0</v>
      </c>
      <c r="H143" s="486">
        <f t="shared" si="58"/>
        <v>0</v>
      </c>
      <c r="I143" s="540">
        <f t="shared" si="59"/>
        <v>0</v>
      </c>
      <c r="J143" s="476">
        <f t="shared" si="60"/>
        <v>0</v>
      </c>
      <c r="K143" s="476"/>
      <c r="L143" s="485"/>
      <c r="M143" s="476">
        <f t="shared" si="61"/>
        <v>0</v>
      </c>
      <c r="N143" s="485"/>
      <c r="O143" s="476">
        <f t="shared" si="62"/>
        <v>0</v>
      </c>
      <c r="P143" s="476">
        <f t="shared" si="63"/>
        <v>0</v>
      </c>
    </row>
    <row r="144" spans="2:16">
      <c r="B144" s="160" t="str">
        <f t="shared" si="64"/>
        <v/>
      </c>
      <c r="C144" s="470">
        <f>IF(D93="","-",+C143+1)</f>
        <v>2056</v>
      </c>
      <c r="D144" s="345">
        <f>IF(F143+SUM(E$99:E143)=D$92,F143,D$92-SUM(E$99:E143))</f>
        <v>0</v>
      </c>
      <c r="E144" s="484">
        <f t="shared" si="55"/>
        <v>0</v>
      </c>
      <c r="F144" s="483">
        <f t="shared" si="56"/>
        <v>0</v>
      </c>
      <c r="G144" s="483">
        <f t="shared" si="57"/>
        <v>0</v>
      </c>
      <c r="H144" s="486">
        <f t="shared" si="58"/>
        <v>0</v>
      </c>
      <c r="I144" s="540">
        <f t="shared" si="59"/>
        <v>0</v>
      </c>
      <c r="J144" s="476">
        <f t="shared" si="60"/>
        <v>0</v>
      </c>
      <c r="K144" s="476"/>
      <c r="L144" s="485"/>
      <c r="M144" s="476">
        <f t="shared" si="61"/>
        <v>0</v>
      </c>
      <c r="N144" s="485"/>
      <c r="O144" s="476">
        <f t="shared" si="62"/>
        <v>0</v>
      </c>
      <c r="P144" s="476">
        <f t="shared" si="63"/>
        <v>0</v>
      </c>
    </row>
    <row r="145" spans="2:16">
      <c r="B145" s="160" t="str">
        <f t="shared" si="64"/>
        <v/>
      </c>
      <c r="C145" s="470">
        <f>IF(D93="","-",+C144+1)</f>
        <v>2057</v>
      </c>
      <c r="D145" s="345">
        <f>IF(F144+SUM(E$99:E144)=D$92,F144,D$92-SUM(E$99:E144))</f>
        <v>0</v>
      </c>
      <c r="E145" s="484">
        <f t="shared" si="55"/>
        <v>0</v>
      </c>
      <c r="F145" s="483">
        <f t="shared" si="56"/>
        <v>0</v>
      </c>
      <c r="G145" s="483">
        <f t="shared" si="57"/>
        <v>0</v>
      </c>
      <c r="H145" s="486">
        <f t="shared" si="58"/>
        <v>0</v>
      </c>
      <c r="I145" s="540">
        <f t="shared" si="59"/>
        <v>0</v>
      </c>
      <c r="J145" s="476">
        <f t="shared" si="60"/>
        <v>0</v>
      </c>
      <c r="K145" s="476"/>
      <c r="L145" s="485"/>
      <c r="M145" s="476">
        <f t="shared" si="61"/>
        <v>0</v>
      </c>
      <c r="N145" s="485"/>
      <c r="O145" s="476">
        <f t="shared" si="62"/>
        <v>0</v>
      </c>
      <c r="P145" s="476">
        <f t="shared" si="63"/>
        <v>0</v>
      </c>
    </row>
    <row r="146" spans="2:16">
      <c r="B146" s="160" t="str">
        <f t="shared" si="64"/>
        <v/>
      </c>
      <c r="C146" s="470">
        <f>IF(D93="","-",+C145+1)</f>
        <v>2058</v>
      </c>
      <c r="D146" s="345">
        <f>IF(F145+SUM(E$99:E145)=D$92,F145,D$92-SUM(E$99:E145))</f>
        <v>0</v>
      </c>
      <c r="E146" s="484">
        <f t="shared" si="55"/>
        <v>0</v>
      </c>
      <c r="F146" s="483">
        <f t="shared" si="56"/>
        <v>0</v>
      </c>
      <c r="G146" s="483">
        <f t="shared" si="57"/>
        <v>0</v>
      </c>
      <c r="H146" s="486">
        <f t="shared" si="58"/>
        <v>0</v>
      </c>
      <c r="I146" s="540">
        <f t="shared" si="59"/>
        <v>0</v>
      </c>
      <c r="J146" s="476">
        <f t="shared" si="60"/>
        <v>0</v>
      </c>
      <c r="K146" s="476"/>
      <c r="L146" s="485"/>
      <c r="M146" s="476">
        <f t="shared" si="61"/>
        <v>0</v>
      </c>
      <c r="N146" s="485"/>
      <c r="O146" s="476">
        <f t="shared" si="62"/>
        <v>0</v>
      </c>
      <c r="P146" s="476">
        <f t="shared" si="63"/>
        <v>0</v>
      </c>
    </row>
    <row r="147" spans="2:16">
      <c r="B147" s="160" t="str">
        <f t="shared" si="64"/>
        <v/>
      </c>
      <c r="C147" s="470">
        <f>IF(D93="","-",+C146+1)</f>
        <v>2059</v>
      </c>
      <c r="D147" s="345">
        <f>IF(F146+SUM(E$99:E146)=D$92,F146,D$92-SUM(E$99:E146))</f>
        <v>0</v>
      </c>
      <c r="E147" s="484">
        <f t="shared" si="55"/>
        <v>0</v>
      </c>
      <c r="F147" s="483">
        <f t="shared" si="56"/>
        <v>0</v>
      </c>
      <c r="G147" s="483">
        <f t="shared" si="57"/>
        <v>0</v>
      </c>
      <c r="H147" s="486">
        <f t="shared" si="58"/>
        <v>0</v>
      </c>
      <c r="I147" s="540">
        <f t="shared" si="59"/>
        <v>0</v>
      </c>
      <c r="J147" s="476">
        <f t="shared" si="60"/>
        <v>0</v>
      </c>
      <c r="K147" s="476"/>
      <c r="L147" s="485"/>
      <c r="M147" s="476">
        <f t="shared" si="61"/>
        <v>0</v>
      </c>
      <c r="N147" s="485"/>
      <c r="O147" s="476">
        <f t="shared" si="62"/>
        <v>0</v>
      </c>
      <c r="P147" s="476">
        <f t="shared" si="63"/>
        <v>0</v>
      </c>
    </row>
    <row r="148" spans="2:16">
      <c r="B148" s="160" t="str">
        <f t="shared" si="64"/>
        <v/>
      </c>
      <c r="C148" s="470">
        <f>IF(D93="","-",+C147+1)</f>
        <v>2060</v>
      </c>
      <c r="D148" s="345">
        <f>IF(F147+SUM(E$99:E147)=D$92,F147,D$92-SUM(E$99:E147))</f>
        <v>0</v>
      </c>
      <c r="E148" s="484">
        <f t="shared" si="55"/>
        <v>0</v>
      </c>
      <c r="F148" s="483">
        <f t="shared" si="56"/>
        <v>0</v>
      </c>
      <c r="G148" s="483">
        <f t="shared" si="57"/>
        <v>0</v>
      </c>
      <c r="H148" s="486">
        <f t="shared" si="58"/>
        <v>0</v>
      </c>
      <c r="I148" s="540">
        <f t="shared" si="59"/>
        <v>0</v>
      </c>
      <c r="J148" s="476">
        <f t="shared" si="60"/>
        <v>0</v>
      </c>
      <c r="K148" s="476"/>
      <c r="L148" s="485"/>
      <c r="M148" s="476">
        <f t="shared" si="61"/>
        <v>0</v>
      </c>
      <c r="N148" s="485"/>
      <c r="O148" s="476">
        <f t="shared" si="62"/>
        <v>0</v>
      </c>
      <c r="P148" s="476">
        <f t="shared" si="63"/>
        <v>0</v>
      </c>
    </row>
    <row r="149" spans="2:16">
      <c r="B149" s="160" t="str">
        <f t="shared" si="64"/>
        <v/>
      </c>
      <c r="C149" s="470">
        <f>IF(D93="","-",+C148+1)</f>
        <v>2061</v>
      </c>
      <c r="D149" s="345">
        <f>IF(F148+SUM(E$99:E148)=D$92,F148,D$92-SUM(E$99:E148))</f>
        <v>0</v>
      </c>
      <c r="E149" s="484">
        <f t="shared" si="55"/>
        <v>0</v>
      </c>
      <c r="F149" s="483">
        <f t="shared" si="56"/>
        <v>0</v>
      </c>
      <c r="G149" s="483">
        <f t="shared" si="57"/>
        <v>0</v>
      </c>
      <c r="H149" s="486">
        <f t="shared" si="58"/>
        <v>0</v>
      </c>
      <c r="I149" s="540">
        <f t="shared" si="59"/>
        <v>0</v>
      </c>
      <c r="J149" s="476">
        <f t="shared" si="60"/>
        <v>0</v>
      </c>
      <c r="K149" s="476"/>
      <c r="L149" s="485"/>
      <c r="M149" s="476">
        <f t="shared" si="61"/>
        <v>0</v>
      </c>
      <c r="N149" s="485"/>
      <c r="O149" s="476">
        <f t="shared" si="62"/>
        <v>0</v>
      </c>
      <c r="P149" s="476">
        <f t="shared" si="63"/>
        <v>0</v>
      </c>
    </row>
    <row r="150" spans="2:16">
      <c r="B150" s="160" t="str">
        <f t="shared" si="64"/>
        <v/>
      </c>
      <c r="C150" s="470">
        <f>IF(D93="","-",+C149+1)</f>
        <v>2062</v>
      </c>
      <c r="D150" s="345">
        <f>IF(F149+SUM(E$99:E149)=D$92,F149,D$92-SUM(E$99:E149))</f>
        <v>0</v>
      </c>
      <c r="E150" s="484">
        <f t="shared" si="55"/>
        <v>0</v>
      </c>
      <c r="F150" s="483">
        <f t="shared" si="56"/>
        <v>0</v>
      </c>
      <c r="G150" s="483">
        <f t="shared" si="57"/>
        <v>0</v>
      </c>
      <c r="H150" s="486">
        <f t="shared" si="58"/>
        <v>0</v>
      </c>
      <c r="I150" s="540">
        <f t="shared" si="59"/>
        <v>0</v>
      </c>
      <c r="J150" s="476">
        <f t="shared" si="60"/>
        <v>0</v>
      </c>
      <c r="K150" s="476"/>
      <c r="L150" s="485"/>
      <c r="M150" s="476">
        <f t="shared" si="61"/>
        <v>0</v>
      </c>
      <c r="N150" s="485"/>
      <c r="O150" s="476">
        <f t="shared" si="62"/>
        <v>0</v>
      </c>
      <c r="P150" s="476">
        <f t="shared" si="63"/>
        <v>0</v>
      </c>
    </row>
    <row r="151" spans="2:16">
      <c r="B151" s="160" t="str">
        <f t="shared" si="64"/>
        <v/>
      </c>
      <c r="C151" s="470">
        <f>IF(D93="","-",+C150+1)</f>
        <v>2063</v>
      </c>
      <c r="D151" s="345">
        <f>IF(F150+SUM(E$99:E150)=D$92,F150,D$92-SUM(E$99:E150))</f>
        <v>0</v>
      </c>
      <c r="E151" s="484">
        <f t="shared" si="55"/>
        <v>0</v>
      </c>
      <c r="F151" s="483">
        <f t="shared" si="56"/>
        <v>0</v>
      </c>
      <c r="G151" s="483">
        <f t="shared" si="57"/>
        <v>0</v>
      </c>
      <c r="H151" s="486">
        <f t="shared" si="58"/>
        <v>0</v>
      </c>
      <c r="I151" s="540">
        <f t="shared" si="59"/>
        <v>0</v>
      </c>
      <c r="J151" s="476">
        <f t="shared" si="60"/>
        <v>0</v>
      </c>
      <c r="K151" s="476"/>
      <c r="L151" s="485"/>
      <c r="M151" s="476">
        <f t="shared" si="61"/>
        <v>0</v>
      </c>
      <c r="N151" s="485"/>
      <c r="O151" s="476">
        <f t="shared" si="62"/>
        <v>0</v>
      </c>
      <c r="P151" s="476">
        <f t="shared" si="63"/>
        <v>0</v>
      </c>
    </row>
    <row r="152" spans="2:16">
      <c r="B152" s="160" t="str">
        <f t="shared" si="64"/>
        <v/>
      </c>
      <c r="C152" s="470">
        <f>IF(D93="","-",+C151+1)</f>
        <v>2064</v>
      </c>
      <c r="D152" s="345">
        <f>IF(F151+SUM(E$99:E151)=D$92,F151,D$92-SUM(E$99:E151))</f>
        <v>0</v>
      </c>
      <c r="E152" s="484">
        <f t="shared" si="55"/>
        <v>0</v>
      </c>
      <c r="F152" s="483">
        <f t="shared" si="56"/>
        <v>0</v>
      </c>
      <c r="G152" s="483">
        <f t="shared" si="57"/>
        <v>0</v>
      </c>
      <c r="H152" s="486">
        <f t="shared" si="58"/>
        <v>0</v>
      </c>
      <c r="I152" s="540">
        <f t="shared" si="59"/>
        <v>0</v>
      </c>
      <c r="J152" s="476">
        <f t="shared" si="60"/>
        <v>0</v>
      </c>
      <c r="K152" s="476"/>
      <c r="L152" s="485"/>
      <c r="M152" s="476">
        <f t="shared" si="61"/>
        <v>0</v>
      </c>
      <c r="N152" s="485"/>
      <c r="O152" s="476">
        <f t="shared" si="62"/>
        <v>0</v>
      </c>
      <c r="P152" s="476">
        <f t="shared" si="63"/>
        <v>0</v>
      </c>
    </row>
    <row r="153" spans="2:16">
      <c r="B153" s="160" t="str">
        <f t="shared" si="64"/>
        <v/>
      </c>
      <c r="C153" s="470">
        <f>IF(D93="","-",+C152+1)</f>
        <v>2065</v>
      </c>
      <c r="D153" s="345">
        <f>IF(F152+SUM(E$99:E152)=D$92,F152,D$92-SUM(E$99:E152))</f>
        <v>0</v>
      </c>
      <c r="E153" s="484">
        <f t="shared" si="55"/>
        <v>0</v>
      </c>
      <c r="F153" s="483">
        <f t="shared" si="56"/>
        <v>0</v>
      </c>
      <c r="G153" s="483">
        <f t="shared" si="57"/>
        <v>0</v>
      </c>
      <c r="H153" s="486">
        <f t="shared" si="58"/>
        <v>0</v>
      </c>
      <c r="I153" s="540">
        <f t="shared" si="59"/>
        <v>0</v>
      </c>
      <c r="J153" s="476">
        <f t="shared" si="60"/>
        <v>0</v>
      </c>
      <c r="K153" s="476"/>
      <c r="L153" s="485"/>
      <c r="M153" s="476">
        <f t="shared" si="61"/>
        <v>0</v>
      </c>
      <c r="N153" s="485"/>
      <c r="O153" s="476">
        <f t="shared" si="62"/>
        <v>0</v>
      </c>
      <c r="P153" s="476">
        <f t="shared" si="63"/>
        <v>0</v>
      </c>
    </row>
    <row r="154" spans="2:16" ht="13.5" thickBot="1">
      <c r="B154" s="160" t="str">
        <f t="shared" si="64"/>
        <v/>
      </c>
      <c r="C154" s="487">
        <f>IF(D93="","-",+C153+1)</f>
        <v>2066</v>
      </c>
      <c r="D154" s="574">
        <f>IF(F153+SUM(E$99:E153)=D$92,F153,D$92-SUM(E$99:E153))</f>
        <v>0</v>
      </c>
      <c r="E154" s="542">
        <f t="shared" si="55"/>
        <v>0</v>
      </c>
      <c r="F154" s="488">
        <f t="shared" si="56"/>
        <v>0</v>
      </c>
      <c r="G154" s="488">
        <f t="shared" si="57"/>
        <v>0</v>
      </c>
      <c r="H154" s="490">
        <f t="shared" si="58"/>
        <v>0</v>
      </c>
      <c r="I154" s="543">
        <f t="shared" si="59"/>
        <v>0</v>
      </c>
      <c r="J154" s="493">
        <f t="shared" si="60"/>
        <v>0</v>
      </c>
      <c r="K154" s="476"/>
      <c r="L154" s="492"/>
      <c r="M154" s="493">
        <f t="shared" si="61"/>
        <v>0</v>
      </c>
      <c r="N154" s="492"/>
      <c r="O154" s="493">
        <f t="shared" si="62"/>
        <v>0</v>
      </c>
      <c r="P154" s="493">
        <f t="shared" si="63"/>
        <v>0</v>
      </c>
    </row>
    <row r="155" spans="2:16">
      <c r="C155" s="345" t="s">
        <v>77</v>
      </c>
      <c r="D155" s="346"/>
      <c r="E155" s="346">
        <f>SUM(E99:E154)</f>
        <v>1404099.6199999999</v>
      </c>
      <c r="F155" s="346"/>
      <c r="G155" s="346"/>
      <c r="H155" s="346">
        <f>SUM(H99:H154)</f>
        <v>5046676.7939809551</v>
      </c>
      <c r="I155" s="346">
        <f>SUM(I99:I154)</f>
        <v>5046676.7939809551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50" priority="1" stopIfTrue="1" operator="equal">
      <formula>$I$10</formula>
    </cfRule>
  </conditionalFormatting>
  <conditionalFormatting sqref="C99:C154">
    <cfRule type="cellIs" dxfId="49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2"/>
  <dimension ref="A1:P162"/>
  <sheetViews>
    <sheetView topLeftCell="A87" zoomScaleNormal="100" zoomScaleSheetLayoutView="75" workbookViewId="0">
      <selection activeCell="V52" sqref="V5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8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12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385776.25641025638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385776.25641025638</v>
      </c>
      <c r="O6" s="231"/>
      <c r="P6" s="231"/>
    </row>
    <row r="7" spans="1:16" ht="13.5" thickBot="1">
      <c r="C7" s="429" t="s">
        <v>46</v>
      </c>
      <c r="D7" s="430" t="s">
        <v>237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570" t="s">
        <v>236</v>
      </c>
      <c r="E9" s="575" t="s">
        <v>294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3305767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2013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8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86993.868421052626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2013</v>
      </c>
      <c r="D17" s="471">
        <v>1132400</v>
      </c>
      <c r="E17" s="472">
        <v>3629.4871794871797</v>
      </c>
      <c r="F17" s="471">
        <v>1128770.5128205128</v>
      </c>
      <c r="G17" s="472">
        <v>160761.94360740471</v>
      </c>
      <c r="H17" s="479">
        <v>160761.94360740471</v>
      </c>
      <c r="I17" s="473">
        <f t="shared" ref="I17:I48" si="0">H17-G17</f>
        <v>0</v>
      </c>
      <c r="J17" s="473"/>
      <c r="K17" s="552">
        <f t="shared" ref="K17:K22" si="1">G17</f>
        <v>160761.94360740471</v>
      </c>
      <c r="L17" s="560">
        <f t="shared" ref="L17:L48" si="2">IF(K17&lt;&gt;0,+G17-K17,0)</f>
        <v>0</v>
      </c>
      <c r="M17" s="552">
        <f t="shared" ref="M17:M22" si="3">H17</f>
        <v>160761.94360740471</v>
      </c>
      <c r="N17" s="557">
        <f t="shared" ref="N17:N48" si="4">IF(M17&lt;&gt;0,+H17-M17,0)</f>
        <v>0</v>
      </c>
      <c r="O17" s="476">
        <f t="shared" ref="O17:O48" si="5">+N17-L17</f>
        <v>0</v>
      </c>
      <c r="P17" s="241"/>
    </row>
    <row r="18" spans="2:16">
      <c r="B18" s="160" t="str">
        <f t="shared" ref="B18:B49" si="6">IF(D18=F17,"","IU")</f>
        <v>IU</v>
      </c>
      <c r="C18" s="470">
        <f>IF(D11="","-",+C17+1)</f>
        <v>2014</v>
      </c>
      <c r="D18" s="471">
        <v>2746405</v>
      </c>
      <c r="E18" s="478">
        <v>52885</v>
      </c>
      <c r="F18" s="471">
        <v>2693519</v>
      </c>
      <c r="G18" s="478">
        <v>437538</v>
      </c>
      <c r="H18" s="479">
        <v>437538</v>
      </c>
      <c r="I18" s="473">
        <f t="shared" si="0"/>
        <v>0</v>
      </c>
      <c r="J18" s="473"/>
      <c r="K18" s="474">
        <f t="shared" si="1"/>
        <v>437538</v>
      </c>
      <c r="L18" s="548">
        <f t="shared" ref="L18:L23" si="7">IF(K18&lt;&gt;0,+G18-K18,0)</f>
        <v>0</v>
      </c>
      <c r="M18" s="474">
        <f t="shared" si="3"/>
        <v>437538</v>
      </c>
      <c r="N18" s="476">
        <f t="shared" ref="N18:N23" si="8">IF(M18&lt;&gt;0,+H18-M18,0)</f>
        <v>0</v>
      </c>
      <c r="O18" s="476">
        <f t="shared" ref="O18:O23" si="9">+N18-L18</f>
        <v>0</v>
      </c>
      <c r="P18" s="241"/>
    </row>
    <row r="19" spans="2:16">
      <c r="B19" s="160" t="str">
        <f t="shared" si="6"/>
        <v>IU</v>
      </c>
      <c r="C19" s="470">
        <f>IF(D11="","-",+C18+1)</f>
        <v>2015</v>
      </c>
      <c r="D19" s="471">
        <v>3185619.512820513</v>
      </c>
      <c r="E19" s="478">
        <v>62348.730769230766</v>
      </c>
      <c r="F19" s="471">
        <v>3123270.782051282</v>
      </c>
      <c r="G19" s="478">
        <v>492294.73076923075</v>
      </c>
      <c r="H19" s="479">
        <v>492294.73076923075</v>
      </c>
      <c r="I19" s="473">
        <v>0</v>
      </c>
      <c r="J19" s="473"/>
      <c r="K19" s="474">
        <f t="shared" si="1"/>
        <v>492294.73076923075</v>
      </c>
      <c r="L19" s="548">
        <f t="shared" si="7"/>
        <v>0</v>
      </c>
      <c r="M19" s="474">
        <f t="shared" si="3"/>
        <v>492294.73076923075</v>
      </c>
      <c r="N19" s="476">
        <f t="shared" si="8"/>
        <v>0</v>
      </c>
      <c r="O19" s="476">
        <f t="shared" si="9"/>
        <v>0</v>
      </c>
      <c r="P19" s="241"/>
    </row>
    <row r="20" spans="2:16">
      <c r="B20" s="160" t="str">
        <f t="shared" si="6"/>
        <v>IU</v>
      </c>
      <c r="C20" s="470">
        <f>IF(D11="","-",+C19+1)</f>
        <v>2016</v>
      </c>
      <c r="D20" s="471">
        <v>3186903.9220512821</v>
      </c>
      <c r="E20" s="478">
        <v>63572.445</v>
      </c>
      <c r="F20" s="471">
        <v>3123331.4770512823</v>
      </c>
      <c r="G20" s="478">
        <v>494191.44500000001</v>
      </c>
      <c r="H20" s="479">
        <v>494191.44500000001</v>
      </c>
      <c r="I20" s="473">
        <v>0</v>
      </c>
      <c r="J20" s="473"/>
      <c r="K20" s="474">
        <f t="shared" si="1"/>
        <v>494191.44500000001</v>
      </c>
      <c r="L20" s="548">
        <f t="shared" si="7"/>
        <v>0</v>
      </c>
      <c r="M20" s="474">
        <f t="shared" si="3"/>
        <v>494191.44500000001</v>
      </c>
      <c r="N20" s="476">
        <f t="shared" si="8"/>
        <v>0</v>
      </c>
      <c r="O20" s="476">
        <f t="shared" si="9"/>
        <v>0</v>
      </c>
      <c r="P20" s="241"/>
    </row>
    <row r="21" spans="2:16">
      <c r="B21" s="160" t="str">
        <f t="shared" si="6"/>
        <v/>
      </c>
      <c r="C21" s="470">
        <f>IF(D11="","-",+C20+1)</f>
        <v>2017</v>
      </c>
      <c r="D21" s="471">
        <v>3123331.4770512823</v>
      </c>
      <c r="E21" s="478">
        <v>63572.445</v>
      </c>
      <c r="F21" s="471">
        <v>3059759.0320512825</v>
      </c>
      <c r="G21" s="478">
        <v>464889.44500000001</v>
      </c>
      <c r="H21" s="479">
        <v>464889.44500000001</v>
      </c>
      <c r="I21" s="473">
        <f t="shared" si="0"/>
        <v>0</v>
      </c>
      <c r="J21" s="473"/>
      <c r="K21" s="474">
        <f t="shared" si="1"/>
        <v>464889.44500000001</v>
      </c>
      <c r="L21" s="548">
        <f t="shared" si="7"/>
        <v>0</v>
      </c>
      <c r="M21" s="474">
        <f t="shared" si="3"/>
        <v>464889.44500000001</v>
      </c>
      <c r="N21" s="476">
        <f t="shared" si="8"/>
        <v>0</v>
      </c>
      <c r="O21" s="476">
        <f t="shared" si="9"/>
        <v>0</v>
      </c>
      <c r="P21" s="241"/>
    </row>
    <row r="22" spans="2:16">
      <c r="B22" s="160" t="str">
        <f t="shared" si="6"/>
        <v/>
      </c>
      <c r="C22" s="470">
        <f>IF(D11="","-",+C21+1)</f>
        <v>2018</v>
      </c>
      <c r="D22" s="471">
        <v>3059759.0320512825</v>
      </c>
      <c r="E22" s="478">
        <v>71864.503043478268</v>
      </c>
      <c r="F22" s="471">
        <v>2987894.5290078041</v>
      </c>
      <c r="G22" s="478">
        <v>452105.50304347824</v>
      </c>
      <c r="H22" s="479">
        <v>452105.50304347824</v>
      </c>
      <c r="I22" s="473">
        <f t="shared" si="0"/>
        <v>0</v>
      </c>
      <c r="J22" s="473"/>
      <c r="K22" s="474">
        <f t="shared" si="1"/>
        <v>452105.50304347824</v>
      </c>
      <c r="L22" s="548">
        <f t="shared" si="7"/>
        <v>0</v>
      </c>
      <c r="M22" s="474">
        <f t="shared" si="3"/>
        <v>452105.50304347824</v>
      </c>
      <c r="N22" s="476">
        <f t="shared" si="8"/>
        <v>0</v>
      </c>
      <c r="O22" s="476">
        <f t="shared" si="9"/>
        <v>0</v>
      </c>
      <c r="P22" s="241"/>
    </row>
    <row r="23" spans="2:16">
      <c r="B23" s="160" t="str">
        <f t="shared" si="6"/>
        <v/>
      </c>
      <c r="C23" s="470">
        <f>IF(D11="","-",+C22+1)</f>
        <v>2019</v>
      </c>
      <c r="D23" s="471">
        <v>2987894.5290078041</v>
      </c>
      <c r="E23" s="478">
        <v>73461.491999999998</v>
      </c>
      <c r="F23" s="471">
        <v>2914433.037007804</v>
      </c>
      <c r="G23" s="478">
        <v>467887.49199999997</v>
      </c>
      <c r="H23" s="479">
        <v>467887.49199999997</v>
      </c>
      <c r="I23" s="473">
        <f t="shared" si="0"/>
        <v>0</v>
      </c>
      <c r="J23" s="473"/>
      <c r="K23" s="474">
        <f t="shared" ref="K23:K28" si="10">G23</f>
        <v>467887.49199999997</v>
      </c>
      <c r="L23" s="548">
        <f t="shared" si="7"/>
        <v>0</v>
      </c>
      <c r="M23" s="474">
        <f t="shared" ref="M23:M28" si="11">H23</f>
        <v>467887.49199999997</v>
      </c>
      <c r="N23" s="476">
        <f t="shared" si="8"/>
        <v>0</v>
      </c>
      <c r="O23" s="476">
        <f t="shared" si="9"/>
        <v>0</v>
      </c>
      <c r="P23" s="241"/>
    </row>
    <row r="24" spans="2:16">
      <c r="B24" s="160" t="str">
        <f t="shared" si="6"/>
        <v/>
      </c>
      <c r="C24" s="470">
        <f>IF(D11="","-",+C23+1)</f>
        <v>2020</v>
      </c>
      <c r="D24" s="471">
        <v>2914433.037007804</v>
      </c>
      <c r="E24" s="478">
        <v>73461.491999999998</v>
      </c>
      <c r="F24" s="471">
        <v>2840971.5450078039</v>
      </c>
      <c r="G24" s="478">
        <v>457945.49199999997</v>
      </c>
      <c r="H24" s="479">
        <v>457945.49199999997</v>
      </c>
      <c r="I24" s="473">
        <f t="shared" si="0"/>
        <v>0</v>
      </c>
      <c r="J24" s="473"/>
      <c r="K24" s="474">
        <f t="shared" si="10"/>
        <v>457945.49199999997</v>
      </c>
      <c r="L24" s="548">
        <f t="shared" ref="L24" si="12">IF(K24&lt;&gt;0,+G24-K24,0)</f>
        <v>0</v>
      </c>
      <c r="M24" s="474">
        <f t="shared" si="11"/>
        <v>457945.49199999997</v>
      </c>
      <c r="N24" s="476">
        <f t="shared" ref="N24" si="13">IF(M24&lt;&gt;0,+H24-M24,0)</f>
        <v>0</v>
      </c>
      <c r="O24" s="476">
        <f t="shared" ref="O24" si="14">+N24-L24</f>
        <v>0</v>
      </c>
      <c r="P24" s="241"/>
    </row>
    <row r="25" spans="2:16">
      <c r="B25" s="160" t="str">
        <f t="shared" si="6"/>
        <v/>
      </c>
      <c r="C25" s="470">
        <f>IF(D11="","-",+C24+1)</f>
        <v>2021</v>
      </c>
      <c r="D25" s="471">
        <v>2840971.5450078039</v>
      </c>
      <c r="E25" s="478">
        <v>78708.741428571433</v>
      </c>
      <c r="F25" s="471">
        <v>2762262.8035792327</v>
      </c>
      <c r="G25" s="478">
        <v>381296.77932523622</v>
      </c>
      <c r="H25" s="479">
        <v>381296.77932523622</v>
      </c>
      <c r="I25" s="473">
        <f t="shared" si="0"/>
        <v>0</v>
      </c>
      <c r="J25" s="473"/>
      <c r="K25" s="474">
        <f t="shared" si="10"/>
        <v>381296.77932523622</v>
      </c>
      <c r="L25" s="548">
        <f t="shared" ref="L25" si="15">IF(K25&lt;&gt;0,+G25-K25,0)</f>
        <v>0</v>
      </c>
      <c r="M25" s="474">
        <f t="shared" si="11"/>
        <v>381296.77932523622</v>
      </c>
      <c r="N25" s="476">
        <f t="shared" si="4"/>
        <v>0</v>
      </c>
      <c r="O25" s="476">
        <f t="shared" si="5"/>
        <v>0</v>
      </c>
      <c r="P25" s="241"/>
    </row>
    <row r="26" spans="2:16">
      <c r="B26" s="160" t="str">
        <f t="shared" si="6"/>
        <v>IU</v>
      </c>
      <c r="C26" s="470">
        <f>IF(D11="","-",+C25+1)</f>
        <v>2022</v>
      </c>
      <c r="D26" s="471">
        <v>2753080.1170792324</v>
      </c>
      <c r="E26" s="478">
        <v>76878.305581395354</v>
      </c>
      <c r="F26" s="471">
        <v>2676201.8114978368</v>
      </c>
      <c r="G26" s="478">
        <v>365431.30558139534</v>
      </c>
      <c r="H26" s="479">
        <v>365431.30558139534</v>
      </c>
      <c r="I26" s="473">
        <f t="shared" si="0"/>
        <v>0</v>
      </c>
      <c r="J26" s="473"/>
      <c r="K26" s="474">
        <f t="shared" si="10"/>
        <v>365431.30558139534</v>
      </c>
      <c r="L26" s="548">
        <f t="shared" ref="L26" si="16">IF(K26&lt;&gt;0,+G26-K26,0)</f>
        <v>0</v>
      </c>
      <c r="M26" s="474">
        <f t="shared" si="11"/>
        <v>365431.30558139534</v>
      </c>
      <c r="N26" s="476">
        <f t="shared" si="4"/>
        <v>0</v>
      </c>
      <c r="O26" s="476">
        <f t="shared" si="5"/>
        <v>0</v>
      </c>
      <c r="P26" s="241"/>
    </row>
    <row r="27" spans="2:16">
      <c r="B27" s="160" t="str">
        <f t="shared" si="6"/>
        <v>IU</v>
      </c>
      <c r="C27" s="470">
        <f>IF(D11="","-",+C26+1)</f>
        <v>2023</v>
      </c>
      <c r="D27" s="471">
        <v>2685384.4979978371</v>
      </c>
      <c r="E27" s="478">
        <v>78708.741428571433</v>
      </c>
      <c r="F27" s="471">
        <v>2606675.7565692659</v>
      </c>
      <c r="G27" s="478">
        <v>359737.7414285714</v>
      </c>
      <c r="H27" s="479">
        <v>359737.7414285714</v>
      </c>
      <c r="I27" s="473">
        <f t="shared" si="0"/>
        <v>0</v>
      </c>
      <c r="J27" s="473"/>
      <c r="K27" s="474">
        <f t="shared" si="10"/>
        <v>359737.7414285714</v>
      </c>
      <c r="L27" s="548">
        <f t="shared" ref="L27" si="17">IF(K27&lt;&gt;0,+G27-K27,0)</f>
        <v>0</v>
      </c>
      <c r="M27" s="474">
        <f t="shared" si="11"/>
        <v>359737.7414285714</v>
      </c>
      <c r="N27" s="476">
        <f t="shared" si="4"/>
        <v>0</v>
      </c>
      <c r="O27" s="476">
        <f t="shared" si="5"/>
        <v>0</v>
      </c>
      <c r="P27" s="241"/>
    </row>
    <row r="28" spans="2:16">
      <c r="B28" s="160" t="str">
        <f t="shared" si="6"/>
        <v>IU</v>
      </c>
      <c r="C28" s="470">
        <f>IF(D11="","-",+C27+1)</f>
        <v>2024</v>
      </c>
      <c r="D28" s="471">
        <v>2606675.6165692657</v>
      </c>
      <c r="E28" s="478">
        <v>84763.256410256407</v>
      </c>
      <c r="F28" s="471">
        <v>2521912.3601590092</v>
      </c>
      <c r="G28" s="478">
        <v>385776.25641025638</v>
      </c>
      <c r="H28" s="479">
        <v>385776.25641025638</v>
      </c>
      <c r="I28" s="473">
        <f t="shared" si="0"/>
        <v>0</v>
      </c>
      <c r="J28" s="473"/>
      <c r="K28" s="474">
        <f t="shared" si="10"/>
        <v>385776.25641025638</v>
      </c>
      <c r="L28" s="548">
        <f t="shared" ref="L28" si="18">IF(K28&lt;&gt;0,+G28-K28,0)</f>
        <v>0</v>
      </c>
      <c r="M28" s="474">
        <f t="shared" si="11"/>
        <v>385776.25641025638</v>
      </c>
      <c r="N28" s="476">
        <f t="shared" ref="N28" si="19">IF(M28&lt;&gt;0,+H28-M28,0)</f>
        <v>0</v>
      </c>
      <c r="O28" s="476">
        <f t="shared" ref="O28" si="20">+N28-L28</f>
        <v>0</v>
      </c>
      <c r="P28" s="241"/>
    </row>
    <row r="29" spans="2:16">
      <c r="B29" s="160" t="str">
        <f t="shared" si="6"/>
        <v/>
      </c>
      <c r="C29" s="631">
        <f>IF(D11="","-",+C28+1)</f>
        <v>2025</v>
      </c>
      <c r="D29" s="483">
        <f>IF(F28+SUM(E$17:E28)=D$10,F28,D$10-SUM(E$17:E28))</f>
        <v>2521912.3601590092</v>
      </c>
      <c r="E29" s="482">
        <f>IF(+I14&lt;F28,I14,D29)</f>
        <v>86993.868421052626</v>
      </c>
      <c r="F29" s="483">
        <f t="shared" ref="F29:F48" si="21">+D29-E29</f>
        <v>2434918.4917379566</v>
      </c>
      <c r="G29" s="484">
        <f t="shared" ref="G29:G49" si="22">ROUND(I$12*F29,0)+E29</f>
        <v>363941.86842105264</v>
      </c>
      <c r="H29" s="453">
        <f t="shared" ref="H29:H49" si="23">ROUND(I$13*F29,0)+E29</f>
        <v>363941.86842105264</v>
      </c>
      <c r="I29" s="473">
        <f t="shared" si="0"/>
        <v>0</v>
      </c>
      <c r="J29" s="473"/>
      <c r="K29" s="485"/>
      <c r="L29" s="476">
        <f t="shared" si="2"/>
        <v>0</v>
      </c>
      <c r="M29" s="485"/>
      <c r="N29" s="476">
        <f t="shared" si="4"/>
        <v>0</v>
      </c>
      <c r="O29" s="476">
        <f t="shared" si="5"/>
        <v>0</v>
      </c>
      <c r="P29" s="241"/>
    </row>
    <row r="30" spans="2:16">
      <c r="B30" s="160" t="str">
        <f t="shared" si="6"/>
        <v/>
      </c>
      <c r="C30" s="470">
        <f>IF(D11="","-",+C29+1)</f>
        <v>2026</v>
      </c>
      <c r="D30" s="483">
        <f>IF(F29+SUM(E$17:E29)=D$10,F29,D$10-SUM(E$17:E29))</f>
        <v>2434918.4917379566</v>
      </c>
      <c r="E30" s="482">
        <f>IF(+I14&lt;F29,I14,D30)</f>
        <v>86993.868421052626</v>
      </c>
      <c r="F30" s="483">
        <f t="shared" si="21"/>
        <v>2347924.6233169041</v>
      </c>
      <c r="G30" s="484">
        <f t="shared" si="22"/>
        <v>354046.86842105264</v>
      </c>
      <c r="H30" s="453">
        <f t="shared" si="23"/>
        <v>354046.86842105264</v>
      </c>
      <c r="I30" s="473">
        <f t="shared" si="0"/>
        <v>0</v>
      </c>
      <c r="J30" s="473"/>
      <c r="K30" s="485"/>
      <c r="L30" s="476">
        <f t="shared" si="2"/>
        <v>0</v>
      </c>
      <c r="M30" s="485"/>
      <c r="N30" s="476">
        <f t="shared" si="4"/>
        <v>0</v>
      </c>
      <c r="O30" s="476">
        <f t="shared" si="5"/>
        <v>0</v>
      </c>
      <c r="P30" s="241"/>
    </row>
    <row r="31" spans="2:16">
      <c r="B31" s="160" t="str">
        <f t="shared" si="6"/>
        <v/>
      </c>
      <c r="C31" s="470">
        <f>IF(D11="","-",+C30+1)</f>
        <v>2027</v>
      </c>
      <c r="D31" s="483">
        <f>IF(F30+SUM(E$17:E30)=D$10,F30,D$10-SUM(E$17:E30))</f>
        <v>2347924.6233169041</v>
      </c>
      <c r="E31" s="482">
        <f>IF(+I14&lt;F30,I14,D31)</f>
        <v>86993.868421052626</v>
      </c>
      <c r="F31" s="483">
        <f t="shared" si="21"/>
        <v>2260930.7548958515</v>
      </c>
      <c r="G31" s="484">
        <f t="shared" si="22"/>
        <v>344152.86842105264</v>
      </c>
      <c r="H31" s="453">
        <f t="shared" si="23"/>
        <v>344152.86842105264</v>
      </c>
      <c r="I31" s="473">
        <f t="shared" si="0"/>
        <v>0</v>
      </c>
      <c r="J31" s="473"/>
      <c r="K31" s="485"/>
      <c r="L31" s="476">
        <f t="shared" si="2"/>
        <v>0</v>
      </c>
      <c r="M31" s="485"/>
      <c r="N31" s="476">
        <f t="shared" si="4"/>
        <v>0</v>
      </c>
      <c r="O31" s="476">
        <f t="shared" si="5"/>
        <v>0</v>
      </c>
      <c r="P31" s="241"/>
    </row>
    <row r="32" spans="2:16">
      <c r="B32" s="160" t="str">
        <f t="shared" si="6"/>
        <v/>
      </c>
      <c r="C32" s="470">
        <f>IF(D11="","-",+C31+1)</f>
        <v>2028</v>
      </c>
      <c r="D32" s="483">
        <f>IF(F31+SUM(E$17:E31)=D$10,F31,D$10-SUM(E$17:E31))</f>
        <v>2260930.7548958515</v>
      </c>
      <c r="E32" s="482">
        <f>IF(+I14&lt;F31,I14,D32)</f>
        <v>86993.868421052626</v>
      </c>
      <c r="F32" s="483">
        <f t="shared" si="21"/>
        <v>2173936.8864747989</v>
      </c>
      <c r="G32" s="484">
        <f t="shared" si="22"/>
        <v>334257.86842105264</v>
      </c>
      <c r="H32" s="453">
        <f t="shared" si="23"/>
        <v>334257.86842105264</v>
      </c>
      <c r="I32" s="473">
        <f t="shared" si="0"/>
        <v>0</v>
      </c>
      <c r="J32" s="473"/>
      <c r="K32" s="485"/>
      <c r="L32" s="476">
        <f t="shared" si="2"/>
        <v>0</v>
      </c>
      <c r="M32" s="485"/>
      <c r="N32" s="476">
        <f t="shared" si="4"/>
        <v>0</v>
      </c>
      <c r="O32" s="476">
        <f t="shared" si="5"/>
        <v>0</v>
      </c>
      <c r="P32" s="241"/>
    </row>
    <row r="33" spans="2:16">
      <c r="B33" s="160" t="str">
        <f t="shared" si="6"/>
        <v/>
      </c>
      <c r="C33" s="470">
        <f>IF(D11="","-",+C32+1)</f>
        <v>2029</v>
      </c>
      <c r="D33" s="483">
        <f>IF(F32+SUM(E$17:E32)=D$10,F32,D$10-SUM(E$17:E32))</f>
        <v>2173936.8864747989</v>
      </c>
      <c r="E33" s="482">
        <f>IF(+I14&lt;F32,I14,D33)</f>
        <v>86993.868421052626</v>
      </c>
      <c r="F33" s="483">
        <f t="shared" si="21"/>
        <v>2086943.0180537463</v>
      </c>
      <c r="G33" s="484">
        <f t="shared" si="22"/>
        <v>324362.86842105264</v>
      </c>
      <c r="H33" s="453">
        <f t="shared" si="23"/>
        <v>324362.86842105264</v>
      </c>
      <c r="I33" s="473">
        <f t="shared" si="0"/>
        <v>0</v>
      </c>
      <c r="J33" s="473"/>
      <c r="K33" s="485"/>
      <c r="L33" s="476">
        <f t="shared" si="2"/>
        <v>0</v>
      </c>
      <c r="M33" s="485"/>
      <c r="N33" s="476">
        <f t="shared" si="4"/>
        <v>0</v>
      </c>
      <c r="O33" s="476">
        <f t="shared" si="5"/>
        <v>0</v>
      </c>
      <c r="P33" s="241"/>
    </row>
    <row r="34" spans="2:16">
      <c r="B34" s="160" t="str">
        <f t="shared" si="6"/>
        <v/>
      </c>
      <c r="C34" s="470">
        <f>IF(D11="","-",+C33+1)</f>
        <v>2030</v>
      </c>
      <c r="D34" s="483">
        <f>IF(F33+SUM(E$17:E33)=D$10,F33,D$10-SUM(E$17:E33))</f>
        <v>2086943.0180537463</v>
      </c>
      <c r="E34" s="482">
        <f>IF(+I14&lt;F33,I14,D34)</f>
        <v>86993.868421052626</v>
      </c>
      <c r="F34" s="483">
        <f t="shared" si="21"/>
        <v>1999949.1496326937</v>
      </c>
      <c r="G34" s="484">
        <f t="shared" si="22"/>
        <v>314468.86842105264</v>
      </c>
      <c r="H34" s="453">
        <f t="shared" si="23"/>
        <v>314468.86842105264</v>
      </c>
      <c r="I34" s="473">
        <f t="shared" si="0"/>
        <v>0</v>
      </c>
      <c r="J34" s="473"/>
      <c r="K34" s="485"/>
      <c r="L34" s="476">
        <f t="shared" si="2"/>
        <v>0</v>
      </c>
      <c r="M34" s="485"/>
      <c r="N34" s="476">
        <f t="shared" si="4"/>
        <v>0</v>
      </c>
      <c r="O34" s="476">
        <f t="shared" si="5"/>
        <v>0</v>
      </c>
      <c r="P34" s="241"/>
    </row>
    <row r="35" spans="2:16">
      <c r="B35" s="160" t="str">
        <f t="shared" si="6"/>
        <v/>
      </c>
      <c r="C35" s="470">
        <f>IF(D11="","-",+C34+1)</f>
        <v>2031</v>
      </c>
      <c r="D35" s="483">
        <f>IF(F34+SUM(E$17:E34)=D$10,F34,D$10-SUM(E$17:E34))</f>
        <v>1999949.1496326937</v>
      </c>
      <c r="E35" s="482">
        <f>IF(+I14&lt;F34,I14,D35)</f>
        <v>86993.868421052626</v>
      </c>
      <c r="F35" s="483">
        <f t="shared" si="21"/>
        <v>1912955.2812116412</v>
      </c>
      <c r="G35" s="484">
        <f t="shared" si="22"/>
        <v>304573.86842105264</v>
      </c>
      <c r="H35" s="453">
        <f t="shared" si="23"/>
        <v>304573.86842105264</v>
      </c>
      <c r="I35" s="473">
        <f t="shared" si="0"/>
        <v>0</v>
      </c>
      <c r="J35" s="473"/>
      <c r="K35" s="485"/>
      <c r="L35" s="476">
        <f t="shared" si="2"/>
        <v>0</v>
      </c>
      <c r="M35" s="485"/>
      <c r="N35" s="476">
        <f t="shared" si="4"/>
        <v>0</v>
      </c>
      <c r="O35" s="476">
        <f t="shared" si="5"/>
        <v>0</v>
      </c>
      <c r="P35" s="241"/>
    </row>
    <row r="36" spans="2:16">
      <c r="B36" s="160" t="str">
        <f t="shared" si="6"/>
        <v/>
      </c>
      <c r="C36" s="470">
        <f>IF(D11="","-",+C35+1)</f>
        <v>2032</v>
      </c>
      <c r="D36" s="483">
        <f>IF(F35+SUM(E$17:E35)=D$10,F35,D$10-SUM(E$17:E35))</f>
        <v>1912955.2812116412</v>
      </c>
      <c r="E36" s="482">
        <f>IF(+I14&lt;F35,I14,D36)</f>
        <v>86993.868421052626</v>
      </c>
      <c r="F36" s="483">
        <f t="shared" si="21"/>
        <v>1825961.4127905886</v>
      </c>
      <c r="G36" s="484">
        <f t="shared" si="22"/>
        <v>294678.86842105264</v>
      </c>
      <c r="H36" s="453">
        <f t="shared" si="23"/>
        <v>294678.86842105264</v>
      </c>
      <c r="I36" s="473">
        <f t="shared" si="0"/>
        <v>0</v>
      </c>
      <c r="J36" s="473"/>
      <c r="K36" s="485"/>
      <c r="L36" s="476">
        <f t="shared" si="2"/>
        <v>0</v>
      </c>
      <c r="M36" s="485"/>
      <c r="N36" s="476">
        <f t="shared" si="4"/>
        <v>0</v>
      </c>
      <c r="O36" s="476">
        <f t="shared" si="5"/>
        <v>0</v>
      </c>
      <c r="P36" s="241"/>
    </row>
    <row r="37" spans="2:16">
      <c r="B37" s="160" t="str">
        <f t="shared" si="6"/>
        <v/>
      </c>
      <c r="C37" s="470">
        <f>IF(D11="","-",+C36+1)</f>
        <v>2033</v>
      </c>
      <c r="D37" s="483">
        <f>IF(F36+SUM(E$17:E36)=D$10,F36,D$10-SUM(E$17:E36))</f>
        <v>1825961.4127905886</v>
      </c>
      <c r="E37" s="482">
        <f>IF(+I14&lt;F36,I14,D37)</f>
        <v>86993.868421052626</v>
      </c>
      <c r="F37" s="483">
        <f t="shared" si="21"/>
        <v>1738967.544369536</v>
      </c>
      <c r="G37" s="484">
        <f t="shared" si="22"/>
        <v>284783.86842105264</v>
      </c>
      <c r="H37" s="453">
        <f t="shared" si="23"/>
        <v>284783.86842105264</v>
      </c>
      <c r="I37" s="473">
        <f t="shared" si="0"/>
        <v>0</v>
      </c>
      <c r="J37" s="473"/>
      <c r="K37" s="485"/>
      <c r="L37" s="476">
        <f t="shared" si="2"/>
        <v>0</v>
      </c>
      <c r="M37" s="485"/>
      <c r="N37" s="476">
        <f t="shared" si="4"/>
        <v>0</v>
      </c>
      <c r="O37" s="476">
        <f t="shared" si="5"/>
        <v>0</v>
      </c>
      <c r="P37" s="241"/>
    </row>
    <row r="38" spans="2:16">
      <c r="B38" s="160" t="str">
        <f t="shared" si="6"/>
        <v/>
      </c>
      <c r="C38" s="470">
        <f>IF(D11="","-",+C37+1)</f>
        <v>2034</v>
      </c>
      <c r="D38" s="483">
        <f>IF(F37+SUM(E$17:E37)=D$10,F37,D$10-SUM(E$17:E37))</f>
        <v>1738967.544369536</v>
      </c>
      <c r="E38" s="482">
        <f>IF(+I14&lt;F37,I14,D38)</f>
        <v>86993.868421052626</v>
      </c>
      <c r="F38" s="483">
        <f t="shared" si="21"/>
        <v>1651973.6759484834</v>
      </c>
      <c r="G38" s="484">
        <f t="shared" si="22"/>
        <v>274889.86842105264</v>
      </c>
      <c r="H38" s="453">
        <f t="shared" si="23"/>
        <v>274889.86842105264</v>
      </c>
      <c r="I38" s="473">
        <f t="shared" si="0"/>
        <v>0</v>
      </c>
      <c r="J38" s="473"/>
      <c r="K38" s="485"/>
      <c r="L38" s="476">
        <f t="shared" si="2"/>
        <v>0</v>
      </c>
      <c r="M38" s="485"/>
      <c r="N38" s="476">
        <f t="shared" si="4"/>
        <v>0</v>
      </c>
      <c r="O38" s="476">
        <f t="shared" si="5"/>
        <v>0</v>
      </c>
      <c r="P38" s="241"/>
    </row>
    <row r="39" spans="2:16">
      <c r="B39" s="160" t="str">
        <f t="shared" si="6"/>
        <v/>
      </c>
      <c r="C39" s="470">
        <f>IF(D11="","-",+C38+1)</f>
        <v>2035</v>
      </c>
      <c r="D39" s="483">
        <f>IF(F38+SUM(E$17:E38)=D$10,F38,D$10-SUM(E$17:E38))</f>
        <v>1651973.6759484834</v>
      </c>
      <c r="E39" s="482">
        <f>IF(+I14&lt;F38,I14,D39)</f>
        <v>86993.868421052626</v>
      </c>
      <c r="F39" s="483">
        <f t="shared" si="21"/>
        <v>1564979.8075274308</v>
      </c>
      <c r="G39" s="484">
        <f t="shared" si="22"/>
        <v>264994.86842105264</v>
      </c>
      <c r="H39" s="453">
        <f t="shared" si="23"/>
        <v>264994.86842105264</v>
      </c>
      <c r="I39" s="473">
        <f t="shared" si="0"/>
        <v>0</v>
      </c>
      <c r="J39" s="473"/>
      <c r="K39" s="485"/>
      <c r="L39" s="476">
        <f t="shared" si="2"/>
        <v>0</v>
      </c>
      <c r="M39" s="485"/>
      <c r="N39" s="476">
        <f t="shared" si="4"/>
        <v>0</v>
      </c>
      <c r="O39" s="476">
        <f t="shared" si="5"/>
        <v>0</v>
      </c>
      <c r="P39" s="241"/>
    </row>
    <row r="40" spans="2:16">
      <c r="B40" s="160" t="str">
        <f t="shared" si="6"/>
        <v/>
      </c>
      <c r="C40" s="470">
        <f>IF(D11="","-",+C39+1)</f>
        <v>2036</v>
      </c>
      <c r="D40" s="483">
        <f>IF(F39+SUM(E$17:E39)=D$10,F39,D$10-SUM(E$17:E39))</f>
        <v>1564979.8075274308</v>
      </c>
      <c r="E40" s="482">
        <f>IF(+I14&lt;F39,I14,D40)</f>
        <v>86993.868421052626</v>
      </c>
      <c r="F40" s="483">
        <f t="shared" si="21"/>
        <v>1477985.9391063782</v>
      </c>
      <c r="G40" s="484">
        <f t="shared" si="22"/>
        <v>255099.86842105264</v>
      </c>
      <c r="H40" s="453">
        <f t="shared" si="23"/>
        <v>255099.86842105264</v>
      </c>
      <c r="I40" s="473">
        <f t="shared" si="0"/>
        <v>0</v>
      </c>
      <c r="J40" s="473"/>
      <c r="K40" s="485"/>
      <c r="L40" s="476">
        <f t="shared" si="2"/>
        <v>0</v>
      </c>
      <c r="M40" s="485"/>
      <c r="N40" s="476">
        <f t="shared" si="4"/>
        <v>0</v>
      </c>
      <c r="O40" s="476">
        <f t="shared" si="5"/>
        <v>0</v>
      </c>
      <c r="P40" s="241"/>
    </row>
    <row r="41" spans="2:16">
      <c r="B41" s="160" t="str">
        <f t="shared" si="6"/>
        <v/>
      </c>
      <c r="C41" s="470">
        <f>IF(D11="","-",+C40+1)</f>
        <v>2037</v>
      </c>
      <c r="D41" s="483">
        <f>IF(F40+SUM(E$17:E40)=D$10,F40,D$10-SUM(E$17:E40))</f>
        <v>1477985.9391063782</v>
      </c>
      <c r="E41" s="482">
        <f>IF(+I14&lt;F40,I14,D41)</f>
        <v>86993.868421052626</v>
      </c>
      <c r="F41" s="483">
        <f t="shared" si="21"/>
        <v>1390992.0706853257</v>
      </c>
      <c r="G41" s="484">
        <f t="shared" si="22"/>
        <v>245205.86842105264</v>
      </c>
      <c r="H41" s="453">
        <f t="shared" si="23"/>
        <v>245205.86842105264</v>
      </c>
      <c r="I41" s="473">
        <f t="shared" si="0"/>
        <v>0</v>
      </c>
      <c r="J41" s="473"/>
      <c r="K41" s="485"/>
      <c r="L41" s="476">
        <f t="shared" si="2"/>
        <v>0</v>
      </c>
      <c r="M41" s="485"/>
      <c r="N41" s="476">
        <f t="shared" si="4"/>
        <v>0</v>
      </c>
      <c r="O41" s="476">
        <f t="shared" si="5"/>
        <v>0</v>
      </c>
      <c r="P41" s="241"/>
    </row>
    <row r="42" spans="2:16">
      <c r="B42" s="160" t="str">
        <f t="shared" si="6"/>
        <v/>
      </c>
      <c r="C42" s="470">
        <f>IF(D11="","-",+C41+1)</f>
        <v>2038</v>
      </c>
      <c r="D42" s="483">
        <f>IF(F41+SUM(E$17:E41)=D$10,F41,D$10-SUM(E$17:E41))</f>
        <v>1390992.0706853257</v>
      </c>
      <c r="E42" s="482">
        <f>IF(+I14&lt;F41,I14,D42)</f>
        <v>86993.868421052626</v>
      </c>
      <c r="F42" s="483">
        <f t="shared" si="21"/>
        <v>1303998.2022642731</v>
      </c>
      <c r="G42" s="484">
        <f t="shared" si="22"/>
        <v>235310.86842105264</v>
      </c>
      <c r="H42" s="453">
        <f t="shared" si="23"/>
        <v>235310.86842105264</v>
      </c>
      <c r="I42" s="473">
        <f t="shared" si="0"/>
        <v>0</v>
      </c>
      <c r="J42" s="473"/>
      <c r="K42" s="485"/>
      <c r="L42" s="476">
        <f t="shared" si="2"/>
        <v>0</v>
      </c>
      <c r="M42" s="485"/>
      <c r="N42" s="476">
        <f t="shared" si="4"/>
        <v>0</v>
      </c>
      <c r="O42" s="476">
        <f t="shared" si="5"/>
        <v>0</v>
      </c>
      <c r="P42" s="241"/>
    </row>
    <row r="43" spans="2:16">
      <c r="B43" s="160" t="str">
        <f t="shared" si="6"/>
        <v/>
      </c>
      <c r="C43" s="470">
        <f>IF(D11="","-",+C42+1)</f>
        <v>2039</v>
      </c>
      <c r="D43" s="483">
        <f>IF(F42+SUM(E$17:E42)=D$10,F42,D$10-SUM(E$17:E42))</f>
        <v>1303998.2022642731</v>
      </c>
      <c r="E43" s="482">
        <f>IF(+I14&lt;F42,I14,D43)</f>
        <v>86993.868421052626</v>
      </c>
      <c r="F43" s="483">
        <f t="shared" si="21"/>
        <v>1217004.3338432205</v>
      </c>
      <c r="G43" s="484">
        <f t="shared" si="22"/>
        <v>225415.86842105264</v>
      </c>
      <c r="H43" s="453">
        <f t="shared" si="23"/>
        <v>225415.86842105264</v>
      </c>
      <c r="I43" s="473">
        <f t="shared" si="0"/>
        <v>0</v>
      </c>
      <c r="J43" s="473"/>
      <c r="K43" s="485"/>
      <c r="L43" s="476">
        <f t="shared" si="2"/>
        <v>0</v>
      </c>
      <c r="M43" s="485"/>
      <c r="N43" s="476">
        <f t="shared" si="4"/>
        <v>0</v>
      </c>
      <c r="O43" s="476">
        <f t="shared" si="5"/>
        <v>0</v>
      </c>
      <c r="P43" s="241"/>
    </row>
    <row r="44" spans="2:16">
      <c r="B44" s="160" t="str">
        <f t="shared" si="6"/>
        <v/>
      </c>
      <c r="C44" s="470">
        <f>IF(D11="","-",+C43+1)</f>
        <v>2040</v>
      </c>
      <c r="D44" s="483">
        <f>IF(F43+SUM(E$17:E43)=D$10,F43,D$10-SUM(E$17:E43))</f>
        <v>1217004.3338432205</v>
      </c>
      <c r="E44" s="482">
        <f>IF(+I14&lt;F43,I14,D44)</f>
        <v>86993.868421052626</v>
      </c>
      <c r="F44" s="483">
        <f t="shared" si="21"/>
        <v>1130010.4654221679</v>
      </c>
      <c r="G44" s="484">
        <f t="shared" si="22"/>
        <v>215521.86842105264</v>
      </c>
      <c r="H44" s="453">
        <f t="shared" si="23"/>
        <v>215521.86842105264</v>
      </c>
      <c r="I44" s="473">
        <f t="shared" si="0"/>
        <v>0</v>
      </c>
      <c r="J44" s="473"/>
      <c r="K44" s="485"/>
      <c r="L44" s="476">
        <f t="shared" si="2"/>
        <v>0</v>
      </c>
      <c r="M44" s="485"/>
      <c r="N44" s="476">
        <f t="shared" si="4"/>
        <v>0</v>
      </c>
      <c r="O44" s="476">
        <f t="shared" si="5"/>
        <v>0</v>
      </c>
      <c r="P44" s="241"/>
    </row>
    <row r="45" spans="2:16">
      <c r="B45" s="160" t="str">
        <f t="shared" si="6"/>
        <v/>
      </c>
      <c r="C45" s="470">
        <f>IF(D11="","-",+C44+1)</f>
        <v>2041</v>
      </c>
      <c r="D45" s="483">
        <f>IF(F44+SUM(E$17:E44)=D$10,F44,D$10-SUM(E$17:E44))</f>
        <v>1130010.4654221679</v>
      </c>
      <c r="E45" s="482">
        <f>IF(+I14&lt;F44,I14,D45)</f>
        <v>86993.868421052626</v>
      </c>
      <c r="F45" s="483">
        <f t="shared" si="21"/>
        <v>1043016.5970011153</v>
      </c>
      <c r="G45" s="484">
        <f t="shared" si="22"/>
        <v>205626.86842105264</v>
      </c>
      <c r="H45" s="453">
        <f t="shared" si="23"/>
        <v>205626.86842105264</v>
      </c>
      <c r="I45" s="473">
        <f t="shared" si="0"/>
        <v>0</v>
      </c>
      <c r="J45" s="473"/>
      <c r="K45" s="485"/>
      <c r="L45" s="476">
        <f t="shared" si="2"/>
        <v>0</v>
      </c>
      <c r="M45" s="485"/>
      <c r="N45" s="476">
        <f t="shared" si="4"/>
        <v>0</v>
      </c>
      <c r="O45" s="476">
        <f t="shared" si="5"/>
        <v>0</v>
      </c>
      <c r="P45" s="241"/>
    </row>
    <row r="46" spans="2:16">
      <c r="B46" s="160" t="str">
        <f t="shared" si="6"/>
        <v/>
      </c>
      <c r="C46" s="470">
        <f>IF(D11="","-",+C45+1)</f>
        <v>2042</v>
      </c>
      <c r="D46" s="483">
        <f>IF(F45+SUM(E$17:E45)=D$10,F45,D$10-SUM(E$17:E45))</f>
        <v>1043016.5970011153</v>
      </c>
      <c r="E46" s="482">
        <f>IF(+I14&lt;F45,I14,D46)</f>
        <v>86993.868421052626</v>
      </c>
      <c r="F46" s="483">
        <f t="shared" si="21"/>
        <v>956022.72858006274</v>
      </c>
      <c r="G46" s="484">
        <f t="shared" si="22"/>
        <v>195731.86842105264</v>
      </c>
      <c r="H46" s="453">
        <f t="shared" si="23"/>
        <v>195731.86842105264</v>
      </c>
      <c r="I46" s="473">
        <f t="shared" si="0"/>
        <v>0</v>
      </c>
      <c r="J46" s="473"/>
      <c r="K46" s="485"/>
      <c r="L46" s="476">
        <f t="shared" si="2"/>
        <v>0</v>
      </c>
      <c r="M46" s="485"/>
      <c r="N46" s="476">
        <f t="shared" si="4"/>
        <v>0</v>
      </c>
      <c r="O46" s="476">
        <f t="shared" si="5"/>
        <v>0</v>
      </c>
      <c r="P46" s="241"/>
    </row>
    <row r="47" spans="2:16">
      <c r="B47" s="160" t="str">
        <f t="shared" si="6"/>
        <v/>
      </c>
      <c r="C47" s="470">
        <f>IF(D11="","-",+C46+1)</f>
        <v>2043</v>
      </c>
      <c r="D47" s="483">
        <f>IF(F46+SUM(E$17:E46)=D$10,F46,D$10-SUM(E$17:E46))</f>
        <v>956022.72858006274</v>
      </c>
      <c r="E47" s="482">
        <f>IF(+I14&lt;F46,I14,D47)</f>
        <v>86993.868421052626</v>
      </c>
      <c r="F47" s="483">
        <f t="shared" si="21"/>
        <v>869028.86015901016</v>
      </c>
      <c r="G47" s="484">
        <f t="shared" si="22"/>
        <v>185837.86842105264</v>
      </c>
      <c r="H47" s="453">
        <f t="shared" si="23"/>
        <v>185837.86842105264</v>
      </c>
      <c r="I47" s="473">
        <f t="shared" si="0"/>
        <v>0</v>
      </c>
      <c r="J47" s="473"/>
      <c r="K47" s="485"/>
      <c r="L47" s="476">
        <f t="shared" si="2"/>
        <v>0</v>
      </c>
      <c r="M47" s="485"/>
      <c r="N47" s="476">
        <f t="shared" si="4"/>
        <v>0</v>
      </c>
      <c r="O47" s="476">
        <f t="shared" si="5"/>
        <v>0</v>
      </c>
      <c r="P47" s="241"/>
    </row>
    <row r="48" spans="2:16">
      <c r="B48" s="160" t="str">
        <f t="shared" si="6"/>
        <v/>
      </c>
      <c r="C48" s="470">
        <f>IF(D11="","-",+C47+1)</f>
        <v>2044</v>
      </c>
      <c r="D48" s="483">
        <f>IF(F47+SUM(E$17:E47)=D$10,F47,D$10-SUM(E$17:E47))</f>
        <v>869028.86015901016</v>
      </c>
      <c r="E48" s="482">
        <f>IF(+I14&lt;F47,I14,D48)</f>
        <v>86993.868421052626</v>
      </c>
      <c r="F48" s="483">
        <f t="shared" si="21"/>
        <v>782034.99173795758</v>
      </c>
      <c r="G48" s="484">
        <f t="shared" si="22"/>
        <v>175942.86842105264</v>
      </c>
      <c r="H48" s="453">
        <f t="shared" si="23"/>
        <v>175942.86842105264</v>
      </c>
      <c r="I48" s="473">
        <f t="shared" si="0"/>
        <v>0</v>
      </c>
      <c r="J48" s="473"/>
      <c r="K48" s="485"/>
      <c r="L48" s="476">
        <f t="shared" si="2"/>
        <v>0</v>
      </c>
      <c r="M48" s="485"/>
      <c r="N48" s="476">
        <f t="shared" si="4"/>
        <v>0</v>
      </c>
      <c r="O48" s="476">
        <f t="shared" si="5"/>
        <v>0</v>
      </c>
      <c r="P48" s="241"/>
    </row>
    <row r="49" spans="2:16">
      <c r="B49" s="160" t="str">
        <f t="shared" si="6"/>
        <v/>
      </c>
      <c r="C49" s="470">
        <f>IF(D11="","-",+C48+1)</f>
        <v>2045</v>
      </c>
      <c r="D49" s="483">
        <f>IF(F48+SUM(E$17:E48)=D$10,F48,D$10-SUM(E$17:E48))</f>
        <v>782034.99173795758</v>
      </c>
      <c r="E49" s="482">
        <f>IF(+I14&lt;F48,I14,D49)</f>
        <v>86993.868421052626</v>
      </c>
      <c r="F49" s="483">
        <f t="shared" ref="F49:F72" si="24">+D49-E49</f>
        <v>695041.123316905</v>
      </c>
      <c r="G49" s="484">
        <f t="shared" si="22"/>
        <v>166047.86842105264</v>
      </c>
      <c r="H49" s="453">
        <f t="shared" si="23"/>
        <v>166047.86842105264</v>
      </c>
      <c r="I49" s="473">
        <f t="shared" ref="I49:I72" si="25">H49-G49</f>
        <v>0</v>
      </c>
      <c r="J49" s="473"/>
      <c r="K49" s="485"/>
      <c r="L49" s="476">
        <f t="shared" ref="L49:L72" si="26">IF(K49&lt;&gt;0,+G49-K49,0)</f>
        <v>0</v>
      </c>
      <c r="M49" s="485"/>
      <c r="N49" s="476">
        <f t="shared" ref="N49:N72" si="27">IF(M49&lt;&gt;0,+H49-M49,0)</f>
        <v>0</v>
      </c>
      <c r="O49" s="476">
        <f t="shared" ref="O49:O72" si="28">+N49-L49</f>
        <v>0</v>
      </c>
      <c r="P49" s="241"/>
    </row>
    <row r="50" spans="2:16">
      <c r="B50" s="160" t="str">
        <f t="shared" ref="B50:B72" si="29">IF(D50=F49,"","IU")</f>
        <v/>
      </c>
      <c r="C50" s="470">
        <f>IF(D11="","-",+C49+1)</f>
        <v>2046</v>
      </c>
      <c r="D50" s="483">
        <f>IF(F49+SUM(E$17:E49)=D$10,F49,D$10-SUM(E$17:E49))</f>
        <v>695041.123316905</v>
      </c>
      <c r="E50" s="482">
        <f>IF(+I14&lt;F49,I14,D50)</f>
        <v>86993.868421052626</v>
      </c>
      <c r="F50" s="483">
        <f t="shared" si="24"/>
        <v>608047.25489585241</v>
      </c>
      <c r="G50" s="484">
        <f t="shared" ref="G50:G72" si="30">ROUND(I$12*F50,0)+E50</f>
        <v>156152.86842105264</v>
      </c>
      <c r="H50" s="453">
        <f t="shared" ref="H50:H72" si="31">ROUND(I$13*F50,0)+E50</f>
        <v>156152.86842105264</v>
      </c>
      <c r="I50" s="473">
        <f t="shared" si="25"/>
        <v>0</v>
      </c>
      <c r="J50" s="473"/>
      <c r="K50" s="485"/>
      <c r="L50" s="476">
        <f t="shared" si="26"/>
        <v>0</v>
      </c>
      <c r="M50" s="485"/>
      <c r="N50" s="476">
        <f t="shared" si="27"/>
        <v>0</v>
      </c>
      <c r="O50" s="476">
        <f t="shared" si="28"/>
        <v>0</v>
      </c>
      <c r="P50" s="241"/>
    </row>
    <row r="51" spans="2:16">
      <c r="B51" s="160" t="str">
        <f t="shared" si="29"/>
        <v/>
      </c>
      <c r="C51" s="470">
        <f>IF(D11="","-",+C50+1)</f>
        <v>2047</v>
      </c>
      <c r="D51" s="483">
        <f>IF(F50+SUM(E$17:E50)=D$10,F50,D$10-SUM(E$17:E50))</f>
        <v>608047.25489585241</v>
      </c>
      <c r="E51" s="482">
        <f>IF(+I14&lt;F50,I14,D51)</f>
        <v>86993.868421052626</v>
      </c>
      <c r="F51" s="483">
        <f t="shared" si="24"/>
        <v>521053.38647479977</v>
      </c>
      <c r="G51" s="484">
        <f t="shared" si="30"/>
        <v>146258.86842105264</v>
      </c>
      <c r="H51" s="453">
        <f t="shared" si="31"/>
        <v>146258.86842105264</v>
      </c>
      <c r="I51" s="473">
        <f t="shared" si="25"/>
        <v>0</v>
      </c>
      <c r="J51" s="473"/>
      <c r="K51" s="485"/>
      <c r="L51" s="476">
        <f t="shared" si="26"/>
        <v>0</v>
      </c>
      <c r="M51" s="485"/>
      <c r="N51" s="476">
        <f t="shared" si="27"/>
        <v>0</v>
      </c>
      <c r="O51" s="476">
        <f t="shared" si="28"/>
        <v>0</v>
      </c>
      <c r="P51" s="241"/>
    </row>
    <row r="52" spans="2:16">
      <c r="B52" s="160" t="str">
        <f t="shared" si="29"/>
        <v/>
      </c>
      <c r="C52" s="470">
        <f>IF(D11="","-",+C51+1)</f>
        <v>2048</v>
      </c>
      <c r="D52" s="483">
        <f>IF(F51+SUM(E$17:E51)=D$10,F51,D$10-SUM(E$17:E51))</f>
        <v>521053.38647479977</v>
      </c>
      <c r="E52" s="482">
        <f>IF(+I14&lt;F51,I14,D52)</f>
        <v>86993.868421052626</v>
      </c>
      <c r="F52" s="483">
        <f t="shared" si="24"/>
        <v>434059.51805374713</v>
      </c>
      <c r="G52" s="484">
        <f t="shared" si="30"/>
        <v>136363.86842105264</v>
      </c>
      <c r="H52" s="453">
        <f t="shared" si="31"/>
        <v>136363.86842105264</v>
      </c>
      <c r="I52" s="473">
        <f t="shared" si="25"/>
        <v>0</v>
      </c>
      <c r="J52" s="473"/>
      <c r="K52" s="485"/>
      <c r="L52" s="476">
        <f t="shared" si="26"/>
        <v>0</v>
      </c>
      <c r="M52" s="485"/>
      <c r="N52" s="476">
        <f t="shared" si="27"/>
        <v>0</v>
      </c>
      <c r="O52" s="476">
        <f t="shared" si="28"/>
        <v>0</v>
      </c>
      <c r="P52" s="241"/>
    </row>
    <row r="53" spans="2:16">
      <c r="B53" s="160" t="str">
        <f t="shared" si="29"/>
        <v/>
      </c>
      <c r="C53" s="470">
        <f>IF(D11="","-",+C52+1)</f>
        <v>2049</v>
      </c>
      <c r="D53" s="483">
        <f>IF(F52+SUM(E$17:E52)=D$10,F52,D$10-SUM(E$17:E52))</f>
        <v>434059.51805374713</v>
      </c>
      <c r="E53" s="482">
        <f>IF(+I14&lt;F52,I14,D53)</f>
        <v>86993.868421052626</v>
      </c>
      <c r="F53" s="483">
        <f t="shared" si="24"/>
        <v>347065.64963269449</v>
      </c>
      <c r="G53" s="484">
        <f t="shared" si="30"/>
        <v>126468.86842105263</v>
      </c>
      <c r="H53" s="453">
        <f t="shared" si="31"/>
        <v>126468.86842105263</v>
      </c>
      <c r="I53" s="473">
        <f t="shared" si="25"/>
        <v>0</v>
      </c>
      <c r="J53" s="473"/>
      <c r="K53" s="485"/>
      <c r="L53" s="476">
        <f t="shared" si="26"/>
        <v>0</v>
      </c>
      <c r="M53" s="485"/>
      <c r="N53" s="476">
        <f t="shared" si="27"/>
        <v>0</v>
      </c>
      <c r="O53" s="476">
        <f t="shared" si="28"/>
        <v>0</v>
      </c>
      <c r="P53" s="241"/>
    </row>
    <row r="54" spans="2:16">
      <c r="B54" s="160" t="str">
        <f t="shared" si="29"/>
        <v/>
      </c>
      <c r="C54" s="470">
        <f>IF(D11="","-",+C53+1)</f>
        <v>2050</v>
      </c>
      <c r="D54" s="483">
        <f>IF(F53+SUM(E$17:E53)=D$10,F53,D$10-SUM(E$17:E53))</f>
        <v>347065.64963269449</v>
      </c>
      <c r="E54" s="482">
        <f>IF(+I14&lt;F53,I14,D54)</f>
        <v>86993.868421052626</v>
      </c>
      <c r="F54" s="483">
        <f t="shared" si="24"/>
        <v>260071.78121164185</v>
      </c>
      <c r="G54" s="484">
        <f t="shared" si="30"/>
        <v>116574.86842105263</v>
      </c>
      <c r="H54" s="453">
        <f t="shared" si="31"/>
        <v>116574.86842105263</v>
      </c>
      <c r="I54" s="473">
        <f t="shared" si="25"/>
        <v>0</v>
      </c>
      <c r="J54" s="473"/>
      <c r="K54" s="485"/>
      <c r="L54" s="476">
        <f t="shared" si="26"/>
        <v>0</v>
      </c>
      <c r="M54" s="485"/>
      <c r="N54" s="476">
        <f t="shared" si="27"/>
        <v>0</v>
      </c>
      <c r="O54" s="476">
        <f t="shared" si="28"/>
        <v>0</v>
      </c>
      <c r="P54" s="241"/>
    </row>
    <row r="55" spans="2:16">
      <c r="B55" s="160" t="str">
        <f t="shared" si="29"/>
        <v/>
      </c>
      <c r="C55" s="470">
        <f>IF(D11="","-",+C54+1)</f>
        <v>2051</v>
      </c>
      <c r="D55" s="483">
        <f>IF(F54+SUM(E$17:E54)=D$10,F54,D$10-SUM(E$17:E54))</f>
        <v>260071.78121164185</v>
      </c>
      <c r="E55" s="482">
        <f>IF(+I14&lt;F54,I14,D55)</f>
        <v>86993.868421052626</v>
      </c>
      <c r="F55" s="483">
        <f t="shared" si="24"/>
        <v>173077.91279058921</v>
      </c>
      <c r="G55" s="484">
        <f t="shared" si="30"/>
        <v>106679.86842105263</v>
      </c>
      <c r="H55" s="453">
        <f t="shared" si="31"/>
        <v>106679.86842105263</v>
      </c>
      <c r="I55" s="473">
        <f t="shared" si="25"/>
        <v>0</v>
      </c>
      <c r="J55" s="473"/>
      <c r="K55" s="485"/>
      <c r="L55" s="476">
        <f t="shared" si="26"/>
        <v>0</v>
      </c>
      <c r="M55" s="485"/>
      <c r="N55" s="476">
        <f t="shared" si="27"/>
        <v>0</v>
      </c>
      <c r="O55" s="476">
        <f t="shared" si="28"/>
        <v>0</v>
      </c>
      <c r="P55" s="241"/>
    </row>
    <row r="56" spans="2:16">
      <c r="B56" s="160" t="str">
        <f t="shared" si="29"/>
        <v/>
      </c>
      <c r="C56" s="470">
        <f>IF(D11="","-",+C55+1)</f>
        <v>2052</v>
      </c>
      <c r="D56" s="483">
        <f>IF(F55+SUM(E$17:E55)=D$10,F55,D$10-SUM(E$17:E55))</f>
        <v>173077.91279058921</v>
      </c>
      <c r="E56" s="482">
        <f>IF(+I14&lt;F55,I14,D56)</f>
        <v>86993.868421052626</v>
      </c>
      <c r="F56" s="483">
        <f t="shared" si="24"/>
        <v>86084.044369536583</v>
      </c>
      <c r="G56" s="484">
        <f t="shared" si="30"/>
        <v>96784.868421052626</v>
      </c>
      <c r="H56" s="453">
        <f t="shared" si="31"/>
        <v>96784.868421052626</v>
      </c>
      <c r="I56" s="473">
        <f t="shared" si="25"/>
        <v>0</v>
      </c>
      <c r="J56" s="473"/>
      <c r="K56" s="485"/>
      <c r="L56" s="476">
        <f t="shared" si="26"/>
        <v>0</v>
      </c>
      <c r="M56" s="485"/>
      <c r="N56" s="476">
        <f t="shared" si="27"/>
        <v>0</v>
      </c>
      <c r="O56" s="476">
        <f t="shared" si="28"/>
        <v>0</v>
      </c>
      <c r="P56" s="241"/>
    </row>
    <row r="57" spans="2:16">
      <c r="B57" s="160" t="str">
        <f t="shared" si="29"/>
        <v/>
      </c>
      <c r="C57" s="470">
        <f>IF(D11="","-",+C56+1)</f>
        <v>2053</v>
      </c>
      <c r="D57" s="483">
        <f>IF(F56+SUM(E$17:E56)=D$10,F56,D$10-SUM(E$17:E56))</f>
        <v>86084.044369536583</v>
      </c>
      <c r="E57" s="482">
        <f>IF(+I14&lt;F56,I14,D57)</f>
        <v>86084.044369536583</v>
      </c>
      <c r="F57" s="483">
        <f t="shared" si="24"/>
        <v>0</v>
      </c>
      <c r="G57" s="484">
        <f t="shared" si="30"/>
        <v>86084.044369536583</v>
      </c>
      <c r="H57" s="453">
        <f t="shared" si="31"/>
        <v>86084.044369536583</v>
      </c>
      <c r="I57" s="473">
        <f t="shared" si="25"/>
        <v>0</v>
      </c>
      <c r="J57" s="473"/>
      <c r="K57" s="485"/>
      <c r="L57" s="476">
        <f t="shared" si="26"/>
        <v>0</v>
      </c>
      <c r="M57" s="485"/>
      <c r="N57" s="476">
        <f t="shared" si="27"/>
        <v>0</v>
      </c>
      <c r="O57" s="476">
        <f t="shared" si="28"/>
        <v>0</v>
      </c>
      <c r="P57" s="241"/>
    </row>
    <row r="58" spans="2:16">
      <c r="B58" s="160" t="str">
        <f t="shared" si="29"/>
        <v/>
      </c>
      <c r="C58" s="470">
        <f>IF(D11="","-",+C57+1)</f>
        <v>2054</v>
      </c>
      <c r="D58" s="483">
        <f>IF(F57+SUM(E$17:E57)=D$10,F57,D$10-SUM(E$17:E57))</f>
        <v>0</v>
      </c>
      <c r="E58" s="482">
        <f>IF(+I14&lt;F57,I14,D58)</f>
        <v>0</v>
      </c>
      <c r="F58" s="483">
        <f t="shared" si="24"/>
        <v>0</v>
      </c>
      <c r="G58" s="484">
        <f t="shared" si="30"/>
        <v>0</v>
      </c>
      <c r="H58" s="453">
        <f t="shared" si="31"/>
        <v>0</v>
      </c>
      <c r="I58" s="473">
        <f t="shared" si="25"/>
        <v>0</v>
      </c>
      <c r="J58" s="473"/>
      <c r="K58" s="485"/>
      <c r="L58" s="476">
        <f t="shared" si="26"/>
        <v>0</v>
      </c>
      <c r="M58" s="485"/>
      <c r="N58" s="476">
        <f t="shared" si="27"/>
        <v>0</v>
      </c>
      <c r="O58" s="476">
        <f t="shared" si="28"/>
        <v>0</v>
      </c>
      <c r="P58" s="241"/>
    </row>
    <row r="59" spans="2:16">
      <c r="B59" s="160" t="str">
        <f t="shared" si="29"/>
        <v/>
      </c>
      <c r="C59" s="470">
        <f>IF(D11="","-",+C58+1)</f>
        <v>2055</v>
      </c>
      <c r="D59" s="483">
        <f>IF(F58+SUM(E$17:E58)=D$10,F58,D$10-SUM(E$17:E58))</f>
        <v>0</v>
      </c>
      <c r="E59" s="482">
        <f>IF(+I14&lt;F58,I14,D59)</f>
        <v>0</v>
      </c>
      <c r="F59" s="483">
        <f t="shared" si="24"/>
        <v>0</v>
      </c>
      <c r="G59" s="484">
        <f t="shared" si="30"/>
        <v>0</v>
      </c>
      <c r="H59" s="453">
        <f t="shared" si="31"/>
        <v>0</v>
      </c>
      <c r="I59" s="473">
        <f t="shared" si="25"/>
        <v>0</v>
      </c>
      <c r="J59" s="473"/>
      <c r="K59" s="485"/>
      <c r="L59" s="476">
        <f t="shared" si="26"/>
        <v>0</v>
      </c>
      <c r="M59" s="485"/>
      <c r="N59" s="476">
        <f t="shared" si="27"/>
        <v>0</v>
      </c>
      <c r="O59" s="476">
        <f t="shared" si="28"/>
        <v>0</v>
      </c>
      <c r="P59" s="241"/>
    </row>
    <row r="60" spans="2:16">
      <c r="B60" s="160" t="str">
        <f t="shared" si="29"/>
        <v/>
      </c>
      <c r="C60" s="470">
        <f>IF(D11="","-",+C59+1)</f>
        <v>2056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4"/>
        <v>0</v>
      </c>
      <c r="G60" s="484">
        <f t="shared" si="30"/>
        <v>0</v>
      </c>
      <c r="H60" s="453">
        <f t="shared" si="31"/>
        <v>0</v>
      </c>
      <c r="I60" s="473">
        <f t="shared" si="25"/>
        <v>0</v>
      </c>
      <c r="J60" s="473"/>
      <c r="K60" s="485"/>
      <c r="L60" s="476">
        <f t="shared" si="26"/>
        <v>0</v>
      </c>
      <c r="M60" s="485"/>
      <c r="N60" s="476">
        <f t="shared" si="27"/>
        <v>0</v>
      </c>
      <c r="O60" s="476">
        <f t="shared" si="28"/>
        <v>0</v>
      </c>
      <c r="P60" s="241"/>
    </row>
    <row r="61" spans="2:16">
      <c r="B61" s="160" t="str">
        <f t="shared" si="29"/>
        <v/>
      </c>
      <c r="C61" s="470">
        <f>IF(D11="","-",+C60+1)</f>
        <v>2057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4"/>
        <v>0</v>
      </c>
      <c r="G61" s="486">
        <f t="shared" si="30"/>
        <v>0</v>
      </c>
      <c r="H61" s="453">
        <f t="shared" si="31"/>
        <v>0</v>
      </c>
      <c r="I61" s="473">
        <f t="shared" si="25"/>
        <v>0</v>
      </c>
      <c r="J61" s="473"/>
      <c r="K61" s="485"/>
      <c r="L61" s="476">
        <f t="shared" si="26"/>
        <v>0</v>
      </c>
      <c r="M61" s="485"/>
      <c r="N61" s="476">
        <f t="shared" si="27"/>
        <v>0</v>
      </c>
      <c r="O61" s="476">
        <f t="shared" si="28"/>
        <v>0</v>
      </c>
      <c r="P61" s="241"/>
    </row>
    <row r="62" spans="2:16">
      <c r="B62" s="160" t="str">
        <f t="shared" si="29"/>
        <v/>
      </c>
      <c r="C62" s="470">
        <f>IF(D11="","-",+C61+1)</f>
        <v>2058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4"/>
        <v>0</v>
      </c>
      <c r="G62" s="486">
        <f t="shared" si="30"/>
        <v>0</v>
      </c>
      <c r="H62" s="453">
        <f t="shared" si="31"/>
        <v>0</v>
      </c>
      <c r="I62" s="473">
        <f t="shared" si="25"/>
        <v>0</v>
      </c>
      <c r="J62" s="473"/>
      <c r="K62" s="485"/>
      <c r="L62" s="476">
        <f t="shared" si="26"/>
        <v>0</v>
      </c>
      <c r="M62" s="485"/>
      <c r="N62" s="476">
        <f t="shared" si="27"/>
        <v>0</v>
      </c>
      <c r="O62" s="476">
        <f t="shared" si="28"/>
        <v>0</v>
      </c>
      <c r="P62" s="241"/>
    </row>
    <row r="63" spans="2:16">
      <c r="B63" s="160" t="str">
        <f t="shared" si="29"/>
        <v/>
      </c>
      <c r="C63" s="470">
        <f>IF(D11="","-",+C62+1)</f>
        <v>2059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4"/>
        <v>0</v>
      </c>
      <c r="G63" s="486">
        <f t="shared" si="30"/>
        <v>0</v>
      </c>
      <c r="H63" s="453">
        <f t="shared" si="31"/>
        <v>0</v>
      </c>
      <c r="I63" s="473">
        <f t="shared" si="25"/>
        <v>0</v>
      </c>
      <c r="J63" s="473"/>
      <c r="K63" s="485"/>
      <c r="L63" s="476">
        <f t="shared" si="26"/>
        <v>0</v>
      </c>
      <c r="M63" s="485"/>
      <c r="N63" s="476">
        <f t="shared" si="27"/>
        <v>0</v>
      </c>
      <c r="O63" s="476">
        <f t="shared" si="28"/>
        <v>0</v>
      </c>
      <c r="P63" s="241"/>
    </row>
    <row r="64" spans="2:16">
      <c r="B64" s="160" t="str">
        <f t="shared" si="29"/>
        <v/>
      </c>
      <c r="C64" s="470">
        <f>IF(D11="","-",+C63+1)</f>
        <v>2060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4"/>
        <v>0</v>
      </c>
      <c r="G64" s="486">
        <f t="shared" si="30"/>
        <v>0</v>
      </c>
      <c r="H64" s="453">
        <f t="shared" si="31"/>
        <v>0</v>
      </c>
      <c r="I64" s="473">
        <f t="shared" si="25"/>
        <v>0</v>
      </c>
      <c r="J64" s="473"/>
      <c r="K64" s="485"/>
      <c r="L64" s="476">
        <f t="shared" si="26"/>
        <v>0</v>
      </c>
      <c r="M64" s="485"/>
      <c r="N64" s="476">
        <f t="shared" si="27"/>
        <v>0</v>
      </c>
      <c r="O64" s="476">
        <f t="shared" si="28"/>
        <v>0</v>
      </c>
      <c r="P64" s="241"/>
    </row>
    <row r="65" spans="2:16">
      <c r="B65" s="160" t="str">
        <f t="shared" si="29"/>
        <v/>
      </c>
      <c r="C65" s="470">
        <f>IF(D11="","-",+C64+1)</f>
        <v>2061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4"/>
        <v>0</v>
      </c>
      <c r="G65" s="486">
        <f t="shared" si="30"/>
        <v>0</v>
      </c>
      <c r="H65" s="453">
        <f t="shared" si="31"/>
        <v>0</v>
      </c>
      <c r="I65" s="473">
        <f t="shared" si="25"/>
        <v>0</v>
      </c>
      <c r="J65" s="473"/>
      <c r="K65" s="485"/>
      <c r="L65" s="476">
        <f t="shared" si="26"/>
        <v>0</v>
      </c>
      <c r="M65" s="485"/>
      <c r="N65" s="476">
        <f t="shared" si="27"/>
        <v>0</v>
      </c>
      <c r="O65" s="476">
        <f t="shared" si="28"/>
        <v>0</v>
      </c>
      <c r="P65" s="241"/>
    </row>
    <row r="66" spans="2:16">
      <c r="B66" s="160" t="str">
        <f t="shared" si="29"/>
        <v/>
      </c>
      <c r="C66" s="470">
        <f>IF(D11="","-",+C65+1)</f>
        <v>2062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4"/>
        <v>0</v>
      </c>
      <c r="G66" s="486">
        <f t="shared" si="30"/>
        <v>0</v>
      </c>
      <c r="H66" s="453">
        <f t="shared" si="31"/>
        <v>0</v>
      </c>
      <c r="I66" s="473">
        <f t="shared" si="25"/>
        <v>0</v>
      </c>
      <c r="J66" s="473"/>
      <c r="K66" s="485"/>
      <c r="L66" s="476">
        <f t="shared" si="26"/>
        <v>0</v>
      </c>
      <c r="M66" s="485"/>
      <c r="N66" s="476">
        <f t="shared" si="27"/>
        <v>0</v>
      </c>
      <c r="O66" s="476">
        <f t="shared" si="28"/>
        <v>0</v>
      </c>
      <c r="P66" s="241"/>
    </row>
    <row r="67" spans="2:16">
      <c r="B67" s="160" t="str">
        <f t="shared" si="29"/>
        <v/>
      </c>
      <c r="C67" s="470">
        <f>IF(D11="","-",+C66+1)</f>
        <v>2063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4"/>
        <v>0</v>
      </c>
      <c r="G67" s="486">
        <f t="shared" si="30"/>
        <v>0</v>
      </c>
      <c r="H67" s="453">
        <f t="shared" si="31"/>
        <v>0</v>
      </c>
      <c r="I67" s="473">
        <f t="shared" si="25"/>
        <v>0</v>
      </c>
      <c r="J67" s="473"/>
      <c r="K67" s="485"/>
      <c r="L67" s="476">
        <f t="shared" si="26"/>
        <v>0</v>
      </c>
      <c r="M67" s="485"/>
      <c r="N67" s="476">
        <f t="shared" si="27"/>
        <v>0</v>
      </c>
      <c r="O67" s="476">
        <f t="shared" si="28"/>
        <v>0</v>
      </c>
      <c r="P67" s="241"/>
    </row>
    <row r="68" spans="2:16">
      <c r="B68" s="160" t="str">
        <f t="shared" si="29"/>
        <v/>
      </c>
      <c r="C68" s="470">
        <f>IF(D11="","-",+C67+1)</f>
        <v>2064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4"/>
        <v>0</v>
      </c>
      <c r="G68" s="486">
        <f t="shared" si="30"/>
        <v>0</v>
      </c>
      <c r="H68" s="453">
        <f t="shared" si="31"/>
        <v>0</v>
      </c>
      <c r="I68" s="473">
        <f t="shared" si="25"/>
        <v>0</v>
      </c>
      <c r="J68" s="473"/>
      <c r="K68" s="485"/>
      <c r="L68" s="476">
        <f t="shared" si="26"/>
        <v>0</v>
      </c>
      <c r="M68" s="485"/>
      <c r="N68" s="476">
        <f t="shared" si="27"/>
        <v>0</v>
      </c>
      <c r="O68" s="476">
        <f t="shared" si="28"/>
        <v>0</v>
      </c>
      <c r="P68" s="241"/>
    </row>
    <row r="69" spans="2:16">
      <c r="B69" s="160" t="str">
        <f t="shared" si="29"/>
        <v/>
      </c>
      <c r="C69" s="470">
        <f>IF(D11="","-",+C68+1)</f>
        <v>2065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4"/>
        <v>0</v>
      </c>
      <c r="G69" s="486">
        <f t="shared" si="30"/>
        <v>0</v>
      </c>
      <c r="H69" s="453">
        <f t="shared" si="31"/>
        <v>0</v>
      </c>
      <c r="I69" s="473">
        <f t="shared" si="25"/>
        <v>0</v>
      </c>
      <c r="J69" s="473"/>
      <c r="K69" s="485"/>
      <c r="L69" s="476">
        <f t="shared" si="26"/>
        <v>0</v>
      </c>
      <c r="M69" s="485"/>
      <c r="N69" s="476">
        <f t="shared" si="27"/>
        <v>0</v>
      </c>
      <c r="O69" s="476">
        <f t="shared" si="28"/>
        <v>0</v>
      </c>
      <c r="P69" s="241"/>
    </row>
    <row r="70" spans="2:16">
      <c r="B70" s="160" t="str">
        <f t="shared" si="29"/>
        <v/>
      </c>
      <c r="C70" s="470">
        <f>IF(D11="","-",+C69+1)</f>
        <v>2066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4"/>
        <v>0</v>
      </c>
      <c r="G70" s="486">
        <f t="shared" si="30"/>
        <v>0</v>
      </c>
      <c r="H70" s="453">
        <f t="shared" si="31"/>
        <v>0</v>
      </c>
      <c r="I70" s="473">
        <f t="shared" si="25"/>
        <v>0</v>
      </c>
      <c r="J70" s="473"/>
      <c r="K70" s="485"/>
      <c r="L70" s="476">
        <f t="shared" si="26"/>
        <v>0</v>
      </c>
      <c r="M70" s="485"/>
      <c r="N70" s="476">
        <f t="shared" si="27"/>
        <v>0</v>
      </c>
      <c r="O70" s="476">
        <f t="shared" si="28"/>
        <v>0</v>
      </c>
      <c r="P70" s="241"/>
    </row>
    <row r="71" spans="2:16">
      <c r="B71" s="160" t="str">
        <f t="shared" si="29"/>
        <v/>
      </c>
      <c r="C71" s="470">
        <f>IF(D11="","-",+C70+1)</f>
        <v>2067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4"/>
        <v>0</v>
      </c>
      <c r="G71" s="486">
        <f t="shared" si="30"/>
        <v>0</v>
      </c>
      <c r="H71" s="453">
        <f t="shared" si="31"/>
        <v>0</v>
      </c>
      <c r="I71" s="473">
        <f t="shared" si="25"/>
        <v>0</v>
      </c>
      <c r="J71" s="473"/>
      <c r="K71" s="485"/>
      <c r="L71" s="476">
        <f t="shared" si="26"/>
        <v>0</v>
      </c>
      <c r="M71" s="485"/>
      <c r="N71" s="476">
        <f t="shared" si="27"/>
        <v>0</v>
      </c>
      <c r="O71" s="476">
        <f t="shared" si="28"/>
        <v>0</v>
      </c>
      <c r="P71" s="241"/>
    </row>
    <row r="72" spans="2:16" ht="13.5" thickBot="1">
      <c r="B72" s="160" t="str">
        <f t="shared" si="29"/>
        <v/>
      </c>
      <c r="C72" s="487">
        <f>IF(D11="","-",+C71+1)</f>
        <v>2068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4"/>
        <v>0</v>
      </c>
      <c r="G72" s="490">
        <f t="shared" si="30"/>
        <v>0</v>
      </c>
      <c r="H72" s="433">
        <f t="shared" si="31"/>
        <v>0</v>
      </c>
      <c r="I72" s="491">
        <f t="shared" si="25"/>
        <v>0</v>
      </c>
      <c r="J72" s="473"/>
      <c r="K72" s="492"/>
      <c r="L72" s="493">
        <f t="shared" si="26"/>
        <v>0</v>
      </c>
      <c r="M72" s="492"/>
      <c r="N72" s="493">
        <f t="shared" si="27"/>
        <v>0</v>
      </c>
      <c r="O72" s="493">
        <f t="shared" si="28"/>
        <v>0</v>
      </c>
      <c r="P72" s="241"/>
    </row>
    <row r="73" spans="2:16">
      <c r="C73" s="345" t="s">
        <v>77</v>
      </c>
      <c r="D73" s="346"/>
      <c r="E73" s="346">
        <f>SUM(E17:E72)</f>
        <v>3305766.9999999995</v>
      </c>
      <c r="F73" s="346"/>
      <c r="G73" s="346">
        <f>SUM(G17:G72)</f>
        <v>11456118.494324598</v>
      </c>
      <c r="H73" s="346">
        <f>SUM(H17:H72)</f>
        <v>11456118.494324598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12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365431.30558139534</v>
      </c>
      <c r="N87" s="506">
        <f>IF(J92&lt;D11,0,VLOOKUP(J92,C17:O72,11))</f>
        <v>365431.30558139534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372729.18001760636</v>
      </c>
      <c r="N88" s="510">
        <f>IF(J92&lt;D11,0,VLOOKUP(J92,C99:P154,7))</f>
        <v>372729.18001760636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Canadian River - McAlester City 138 kV Line Conversion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7297.8744362110156</v>
      </c>
      <c r="N89" s="515">
        <f>+N88-N87</f>
        <v>7297.8744362110156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TP2009095-PSO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445">
        <f>+D10</f>
        <v>3305767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v>2012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v>8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80628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468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2012</v>
      </c>
      <c r="D99" s="639">
        <v>0</v>
      </c>
      <c r="E99" s="577">
        <v>1616</v>
      </c>
      <c r="F99" s="640">
        <v>502209</v>
      </c>
      <c r="G99" s="641">
        <v>251209</v>
      </c>
      <c r="H99" s="580">
        <v>37753</v>
      </c>
      <c r="I99" s="581">
        <v>37753</v>
      </c>
      <c r="J99" s="476">
        <f t="shared" ref="J99:J130" si="32">+I99-H99</f>
        <v>0</v>
      </c>
      <c r="K99" s="572"/>
      <c r="L99" s="565">
        <f t="shared" ref="L99:L104" si="33">H99</f>
        <v>37753</v>
      </c>
      <c r="M99" s="573">
        <f t="shared" ref="M99:M104" si="34">IF(L99&lt;&gt;0,+H99-L99,0)</f>
        <v>0</v>
      </c>
      <c r="N99" s="565">
        <f t="shared" ref="N99:N104" si="35">I99</f>
        <v>37753</v>
      </c>
      <c r="O99" s="347">
        <f t="shared" ref="O99:O104" si="36">IF(N99&lt;&gt;0,+I99-N99,0)</f>
        <v>0</v>
      </c>
      <c r="P99" s="475">
        <f t="shared" ref="P99:P104" si="37">+O99-M99</f>
        <v>0</v>
      </c>
    </row>
    <row r="100" spans="1:16">
      <c r="B100" s="160" t="str">
        <f t="shared" ref="B100:B131" si="38">IF(D100=F99,"","IU")</f>
        <v>IU</v>
      </c>
      <c r="C100" s="470">
        <f>IF(D93="","-",+C99+1)</f>
        <v>2013</v>
      </c>
      <c r="D100" s="642">
        <v>3240518</v>
      </c>
      <c r="E100" s="478">
        <v>62349</v>
      </c>
      <c r="F100" s="643">
        <v>3178169</v>
      </c>
      <c r="G100" s="643">
        <v>3209343.5</v>
      </c>
      <c r="H100" s="478">
        <v>524300.60020262119</v>
      </c>
      <c r="I100" s="479">
        <v>524300.60020262119</v>
      </c>
      <c r="J100" s="476">
        <v>0</v>
      </c>
      <c r="K100" s="572"/>
      <c r="L100" s="538">
        <f t="shared" si="33"/>
        <v>524300.60020262119</v>
      </c>
      <c r="M100" s="573">
        <f t="shared" si="34"/>
        <v>0</v>
      </c>
      <c r="N100" s="538">
        <f t="shared" si="35"/>
        <v>524300.60020262119</v>
      </c>
      <c r="O100" s="347">
        <f t="shared" si="36"/>
        <v>0</v>
      </c>
      <c r="P100" s="476">
        <f t="shared" si="37"/>
        <v>0</v>
      </c>
    </row>
    <row r="101" spans="1:16">
      <c r="B101" s="160" t="str">
        <f t="shared" si="38"/>
        <v>IU</v>
      </c>
      <c r="C101" s="470">
        <f>IF(D93="","-",+C100+1)</f>
        <v>2014</v>
      </c>
      <c r="D101" s="642">
        <v>3241802.14</v>
      </c>
      <c r="E101" s="478">
        <v>63572</v>
      </c>
      <c r="F101" s="643">
        <v>3178230.14</v>
      </c>
      <c r="G101" s="643">
        <v>3210016.14</v>
      </c>
      <c r="H101" s="478">
        <v>514887.14751698606</v>
      </c>
      <c r="I101" s="479">
        <v>514887.14751698606</v>
      </c>
      <c r="J101" s="476">
        <v>0</v>
      </c>
      <c r="K101" s="572"/>
      <c r="L101" s="538">
        <f t="shared" si="33"/>
        <v>514887.14751698606</v>
      </c>
      <c r="M101" s="573">
        <f t="shared" si="34"/>
        <v>0</v>
      </c>
      <c r="N101" s="538">
        <f t="shared" si="35"/>
        <v>514887.14751698606</v>
      </c>
      <c r="O101" s="347">
        <f t="shared" si="36"/>
        <v>0</v>
      </c>
      <c r="P101" s="476">
        <f t="shared" si="37"/>
        <v>0</v>
      </c>
    </row>
    <row r="102" spans="1:16">
      <c r="B102" s="160" t="str">
        <f t="shared" si="38"/>
        <v/>
      </c>
      <c r="C102" s="470">
        <f>IF(D93="","-",+C101+1)</f>
        <v>2015</v>
      </c>
      <c r="D102" s="642">
        <v>3178230.14</v>
      </c>
      <c r="E102" s="478">
        <v>63572</v>
      </c>
      <c r="F102" s="643">
        <v>3114658.14</v>
      </c>
      <c r="G102" s="643">
        <v>3146444.14</v>
      </c>
      <c r="H102" s="478">
        <v>492879.0042454137</v>
      </c>
      <c r="I102" s="479">
        <v>492879.0042454137</v>
      </c>
      <c r="J102" s="476">
        <f t="shared" si="32"/>
        <v>0</v>
      </c>
      <c r="K102" s="476"/>
      <c r="L102" s="538">
        <f t="shared" si="33"/>
        <v>492879.0042454137</v>
      </c>
      <c r="M102" s="573">
        <f t="shared" si="34"/>
        <v>0</v>
      </c>
      <c r="N102" s="538">
        <f t="shared" si="35"/>
        <v>492879.0042454137</v>
      </c>
      <c r="O102" s="347">
        <f t="shared" si="36"/>
        <v>0</v>
      </c>
      <c r="P102" s="476">
        <f t="shared" si="37"/>
        <v>0</v>
      </c>
    </row>
    <row r="103" spans="1:16">
      <c r="B103" s="160" t="str">
        <f t="shared" si="38"/>
        <v/>
      </c>
      <c r="C103" s="470">
        <f>IF(D93="","-",+C102+1)</f>
        <v>2016</v>
      </c>
      <c r="D103" s="642">
        <v>3114658.14</v>
      </c>
      <c r="E103" s="478">
        <v>71865</v>
      </c>
      <c r="F103" s="643">
        <v>3042793.14</v>
      </c>
      <c r="G103" s="643">
        <v>3078725.64</v>
      </c>
      <c r="H103" s="478">
        <v>468761.221459263</v>
      </c>
      <c r="I103" s="479">
        <v>468761.221459263</v>
      </c>
      <c r="J103" s="476">
        <f t="shared" si="32"/>
        <v>0</v>
      </c>
      <c r="K103" s="476"/>
      <c r="L103" s="538">
        <f t="shared" si="33"/>
        <v>468761.221459263</v>
      </c>
      <c r="M103" s="573">
        <f t="shared" si="34"/>
        <v>0</v>
      </c>
      <c r="N103" s="538">
        <f t="shared" si="35"/>
        <v>468761.221459263</v>
      </c>
      <c r="O103" s="347">
        <f t="shared" si="36"/>
        <v>0</v>
      </c>
      <c r="P103" s="476">
        <f t="shared" si="37"/>
        <v>0</v>
      </c>
    </row>
    <row r="104" spans="1:16">
      <c r="B104" s="160" t="str">
        <f t="shared" si="38"/>
        <v/>
      </c>
      <c r="C104" s="470">
        <f>IF(D93="","-",+C103+1)</f>
        <v>2017</v>
      </c>
      <c r="D104" s="642">
        <v>3042793.14</v>
      </c>
      <c r="E104" s="478">
        <v>71865</v>
      </c>
      <c r="F104" s="643">
        <v>2970928.14</v>
      </c>
      <c r="G104" s="643">
        <v>3006860.64</v>
      </c>
      <c r="H104" s="478">
        <v>453292.85398579738</v>
      </c>
      <c r="I104" s="479">
        <v>453292.85398579738</v>
      </c>
      <c r="J104" s="476">
        <f t="shared" si="32"/>
        <v>0</v>
      </c>
      <c r="K104" s="476"/>
      <c r="L104" s="538">
        <f t="shared" si="33"/>
        <v>453292.85398579738</v>
      </c>
      <c r="M104" s="573">
        <f t="shared" si="34"/>
        <v>0</v>
      </c>
      <c r="N104" s="538">
        <f t="shared" si="35"/>
        <v>453292.85398579738</v>
      </c>
      <c r="O104" s="347">
        <f t="shared" si="36"/>
        <v>0</v>
      </c>
      <c r="P104" s="476">
        <f t="shared" si="37"/>
        <v>0</v>
      </c>
    </row>
    <row r="105" spans="1:16">
      <c r="B105" s="160" t="str">
        <f t="shared" si="38"/>
        <v/>
      </c>
      <c r="C105" s="470">
        <f>IF(D93="","-",+C104+1)</f>
        <v>2018</v>
      </c>
      <c r="D105" s="642">
        <v>2970928.14</v>
      </c>
      <c r="E105" s="478">
        <v>76878</v>
      </c>
      <c r="F105" s="643">
        <v>2894050.14</v>
      </c>
      <c r="G105" s="643">
        <v>2932489.14</v>
      </c>
      <c r="H105" s="478">
        <v>378148.93401168124</v>
      </c>
      <c r="I105" s="479">
        <v>378148.93401168124</v>
      </c>
      <c r="J105" s="476">
        <f t="shared" si="32"/>
        <v>0</v>
      </c>
      <c r="K105" s="476"/>
      <c r="L105" s="538">
        <f t="shared" ref="L105" si="39">H105</f>
        <v>378148.93401168124</v>
      </c>
      <c r="M105" s="573">
        <f t="shared" ref="M105" si="40">IF(L105&lt;&gt;0,+H105-L105,0)</f>
        <v>0</v>
      </c>
      <c r="N105" s="538">
        <f t="shared" ref="N105" si="41">I105</f>
        <v>378148.93401168124</v>
      </c>
      <c r="O105" s="347">
        <f t="shared" ref="O105" si="42">IF(N105&lt;&gt;0,+I105-N105,0)</f>
        <v>0</v>
      </c>
      <c r="P105" s="476">
        <f t="shared" ref="P105" si="43">+O105-M105</f>
        <v>0</v>
      </c>
    </row>
    <row r="106" spans="1:16">
      <c r="B106" s="160" t="str">
        <f t="shared" si="38"/>
        <v/>
      </c>
      <c r="C106" s="470">
        <f>IF(D93="","-",+C105+1)</f>
        <v>2019</v>
      </c>
      <c r="D106" s="642">
        <v>2894050.14</v>
      </c>
      <c r="E106" s="478">
        <v>80628</v>
      </c>
      <c r="F106" s="643">
        <v>2813422.14</v>
      </c>
      <c r="G106" s="643">
        <v>2853736.14</v>
      </c>
      <c r="H106" s="478">
        <v>374888.22276719729</v>
      </c>
      <c r="I106" s="479">
        <v>374888.22276719729</v>
      </c>
      <c r="J106" s="476">
        <f t="shared" si="32"/>
        <v>0</v>
      </c>
      <c r="K106" s="476"/>
      <c r="L106" s="538">
        <f t="shared" ref="L106:L107" si="44">H106</f>
        <v>374888.22276719729</v>
      </c>
      <c r="M106" s="573">
        <f t="shared" ref="M106:M107" si="45">IF(L106&lt;&gt;0,+H106-L106,0)</f>
        <v>0</v>
      </c>
      <c r="N106" s="538">
        <f t="shared" ref="N106:N107" si="46">I106</f>
        <v>374888.22276719729</v>
      </c>
      <c r="O106" s="476">
        <f t="shared" ref="O106:O130" si="47">IF(N106&lt;&gt;0,+I106-N106,0)</f>
        <v>0</v>
      </c>
      <c r="P106" s="476">
        <f t="shared" ref="P106:P130" si="48">+O106-M106</f>
        <v>0</v>
      </c>
    </row>
    <row r="107" spans="1:16">
      <c r="B107" s="160" t="str">
        <f t="shared" si="38"/>
        <v/>
      </c>
      <c r="C107" s="470">
        <f>IF(D93="","-",+C106+1)</f>
        <v>2020</v>
      </c>
      <c r="D107" s="642">
        <v>2813422.14</v>
      </c>
      <c r="E107" s="478">
        <v>76878</v>
      </c>
      <c r="F107" s="643">
        <v>2736544.14</v>
      </c>
      <c r="G107" s="643">
        <v>2774983.14</v>
      </c>
      <c r="H107" s="478">
        <v>396825.92685492127</v>
      </c>
      <c r="I107" s="479">
        <v>396825.92685492127</v>
      </c>
      <c r="J107" s="476">
        <f t="shared" si="32"/>
        <v>0</v>
      </c>
      <c r="K107" s="476"/>
      <c r="L107" s="538">
        <f t="shared" si="44"/>
        <v>396825.92685492127</v>
      </c>
      <c r="M107" s="573">
        <f t="shared" si="45"/>
        <v>0</v>
      </c>
      <c r="N107" s="538">
        <f t="shared" si="46"/>
        <v>396825.92685492127</v>
      </c>
      <c r="O107" s="476">
        <f t="shared" si="47"/>
        <v>0</v>
      </c>
      <c r="P107" s="476">
        <f t="shared" si="48"/>
        <v>0</v>
      </c>
    </row>
    <row r="108" spans="1:16">
      <c r="B108" s="160" t="str">
        <f t="shared" si="38"/>
        <v/>
      </c>
      <c r="C108" s="470">
        <f>IF(D93="","-",+C107+1)</f>
        <v>2021</v>
      </c>
      <c r="D108" s="642">
        <v>2736544.14</v>
      </c>
      <c r="E108" s="478">
        <v>80628</v>
      </c>
      <c r="F108" s="643">
        <v>2655916.14</v>
      </c>
      <c r="G108" s="643">
        <v>2696230.14</v>
      </c>
      <c r="H108" s="478">
        <v>387439.55828621471</v>
      </c>
      <c r="I108" s="479">
        <v>387439.55828621471</v>
      </c>
      <c r="J108" s="476">
        <f t="shared" si="32"/>
        <v>0</v>
      </c>
      <c r="K108" s="476"/>
      <c r="L108" s="538">
        <f t="shared" ref="L108" si="49">H108</f>
        <v>387439.55828621471</v>
      </c>
      <c r="M108" s="573">
        <f t="shared" ref="M108" si="50">IF(L108&lt;&gt;0,+H108-L108,0)</f>
        <v>0</v>
      </c>
      <c r="N108" s="538">
        <f t="shared" ref="N108" si="51">I108</f>
        <v>387439.55828621471</v>
      </c>
      <c r="O108" s="476">
        <f t="shared" ref="O108" si="52">IF(N108&lt;&gt;0,+I108-N108,0)</f>
        <v>0</v>
      </c>
      <c r="P108" s="476">
        <f t="shared" ref="P108" si="53">+O108-M108</f>
        <v>0</v>
      </c>
    </row>
    <row r="109" spans="1:16">
      <c r="B109" s="160" t="str">
        <f t="shared" si="38"/>
        <v/>
      </c>
      <c r="C109" s="631">
        <f>IF(D93="","-",+C108+1)</f>
        <v>2022</v>
      </c>
      <c r="D109" s="644">
        <v>2655916.14</v>
      </c>
      <c r="E109" s="645">
        <v>84763</v>
      </c>
      <c r="F109" s="646">
        <v>2571153.14</v>
      </c>
      <c r="G109" s="646">
        <v>2613534.64</v>
      </c>
      <c r="H109" s="645">
        <v>372729.18001760636</v>
      </c>
      <c r="I109" s="647">
        <v>372729.18001760636</v>
      </c>
      <c r="J109" s="476">
        <f t="shared" si="32"/>
        <v>0</v>
      </c>
      <c r="K109" s="476"/>
      <c r="L109" s="485"/>
      <c r="M109" s="476">
        <f t="shared" ref="M109:M130" si="54">IF(L109&lt;&gt;0,+H109-L109,0)</f>
        <v>0</v>
      </c>
      <c r="N109" s="485"/>
      <c r="O109" s="476">
        <f t="shared" si="47"/>
        <v>0</v>
      </c>
      <c r="P109" s="476">
        <f t="shared" si="48"/>
        <v>0</v>
      </c>
    </row>
    <row r="110" spans="1:16">
      <c r="B110" s="160" t="str">
        <f t="shared" si="38"/>
        <v>IU</v>
      </c>
      <c r="C110" s="470">
        <f>IF(D93="","-",+C109+1)</f>
        <v>2023</v>
      </c>
      <c r="D110" s="345">
        <f>IF(F109+SUM(E$99:E109)=D$92,F109,D$92-SUM(E$99:E109))</f>
        <v>2571153</v>
      </c>
      <c r="E110" s="484">
        <f t="shared" ref="E110:E154" si="55">IF(+J$96&lt;F109,J$96,D110)</f>
        <v>80628</v>
      </c>
      <c r="F110" s="483">
        <f t="shared" ref="F110:F154" si="56">+D110-E110</f>
        <v>2490525</v>
      </c>
      <c r="G110" s="483">
        <f t="shared" ref="G110:G154" si="57">+(F110+D110)/2</f>
        <v>2530839</v>
      </c>
      <c r="H110" s="486">
        <f t="shared" ref="H110:H130" si="58">+J$94*G110+E110</f>
        <v>368619.23852295685</v>
      </c>
      <c r="I110" s="540">
        <f t="shared" ref="I110:I130" si="59">+J$95*G110+E110</f>
        <v>368619.23852295685</v>
      </c>
      <c r="J110" s="476">
        <f t="shared" si="32"/>
        <v>0</v>
      </c>
      <c r="K110" s="476"/>
      <c r="L110" s="485"/>
      <c r="M110" s="476">
        <f t="shared" si="54"/>
        <v>0</v>
      </c>
      <c r="N110" s="485"/>
      <c r="O110" s="476">
        <f t="shared" si="47"/>
        <v>0</v>
      </c>
      <c r="P110" s="476">
        <f t="shared" si="48"/>
        <v>0</v>
      </c>
    </row>
    <row r="111" spans="1:16">
      <c r="B111" s="160" t="str">
        <f t="shared" si="38"/>
        <v/>
      </c>
      <c r="C111" s="470">
        <f>IF(D93="","-",+C110+1)</f>
        <v>2024</v>
      </c>
      <c r="D111" s="345">
        <f>IF(F110+SUM(E$99:E110)=D$92,F110,D$92-SUM(E$99:E110))</f>
        <v>2490525</v>
      </c>
      <c r="E111" s="484">
        <f t="shared" si="55"/>
        <v>80628</v>
      </c>
      <c r="F111" s="483">
        <f t="shared" si="56"/>
        <v>2409897</v>
      </c>
      <c r="G111" s="483">
        <f t="shared" si="57"/>
        <v>2450211</v>
      </c>
      <c r="H111" s="486">
        <f t="shared" si="58"/>
        <v>359444.35320641595</v>
      </c>
      <c r="I111" s="540">
        <f t="shared" si="59"/>
        <v>359444.35320641595</v>
      </c>
      <c r="J111" s="476">
        <f t="shared" si="32"/>
        <v>0</v>
      </c>
      <c r="K111" s="476"/>
      <c r="L111" s="485"/>
      <c r="M111" s="476">
        <f t="shared" si="54"/>
        <v>0</v>
      </c>
      <c r="N111" s="485"/>
      <c r="O111" s="476">
        <f t="shared" si="47"/>
        <v>0</v>
      </c>
      <c r="P111" s="476">
        <f t="shared" si="48"/>
        <v>0</v>
      </c>
    </row>
    <row r="112" spans="1:16">
      <c r="B112" s="160" t="str">
        <f t="shared" si="38"/>
        <v/>
      </c>
      <c r="C112" s="470">
        <f>IF(D93="","-",+C111+1)</f>
        <v>2025</v>
      </c>
      <c r="D112" s="345">
        <f>IF(F111+SUM(E$99:E111)=D$92,F111,D$92-SUM(E$99:E111))</f>
        <v>2409897</v>
      </c>
      <c r="E112" s="484">
        <f t="shared" si="55"/>
        <v>80628</v>
      </c>
      <c r="F112" s="483">
        <f t="shared" si="56"/>
        <v>2329269</v>
      </c>
      <c r="G112" s="483">
        <f t="shared" si="57"/>
        <v>2369583</v>
      </c>
      <c r="H112" s="486">
        <f t="shared" si="58"/>
        <v>350269.46788987512</v>
      </c>
      <c r="I112" s="540">
        <f t="shared" si="59"/>
        <v>350269.46788987512</v>
      </c>
      <c r="J112" s="476">
        <f t="shared" si="32"/>
        <v>0</v>
      </c>
      <c r="K112" s="476"/>
      <c r="L112" s="485"/>
      <c r="M112" s="476">
        <f t="shared" si="54"/>
        <v>0</v>
      </c>
      <c r="N112" s="485"/>
      <c r="O112" s="476">
        <f t="shared" si="47"/>
        <v>0</v>
      </c>
      <c r="P112" s="476">
        <f t="shared" si="48"/>
        <v>0</v>
      </c>
    </row>
    <row r="113" spans="2:16">
      <c r="B113" s="160" t="str">
        <f t="shared" si="38"/>
        <v/>
      </c>
      <c r="C113" s="470">
        <f>IF(D93="","-",+C112+1)</f>
        <v>2026</v>
      </c>
      <c r="D113" s="345">
        <f>IF(F112+SUM(E$99:E112)=D$92,F112,D$92-SUM(E$99:E112))</f>
        <v>2329269</v>
      </c>
      <c r="E113" s="484">
        <f t="shared" si="55"/>
        <v>80628</v>
      </c>
      <c r="F113" s="483">
        <f t="shared" si="56"/>
        <v>2248641</v>
      </c>
      <c r="G113" s="483">
        <f t="shared" si="57"/>
        <v>2288955</v>
      </c>
      <c r="H113" s="486">
        <f t="shared" si="58"/>
        <v>341094.58257333422</v>
      </c>
      <c r="I113" s="540">
        <f t="shared" si="59"/>
        <v>341094.58257333422</v>
      </c>
      <c r="J113" s="476">
        <f t="shared" si="32"/>
        <v>0</v>
      </c>
      <c r="K113" s="476"/>
      <c r="L113" s="485"/>
      <c r="M113" s="476">
        <f t="shared" si="54"/>
        <v>0</v>
      </c>
      <c r="N113" s="485"/>
      <c r="O113" s="476">
        <f t="shared" si="47"/>
        <v>0</v>
      </c>
      <c r="P113" s="476">
        <f t="shared" si="48"/>
        <v>0</v>
      </c>
    </row>
    <row r="114" spans="2:16">
      <c r="B114" s="160" t="str">
        <f t="shared" si="38"/>
        <v/>
      </c>
      <c r="C114" s="470">
        <f>IF(D93="","-",+C113+1)</f>
        <v>2027</v>
      </c>
      <c r="D114" s="345">
        <f>IF(F113+SUM(E$99:E113)=D$92,F113,D$92-SUM(E$99:E113))</f>
        <v>2248641</v>
      </c>
      <c r="E114" s="484">
        <f t="shared" si="55"/>
        <v>80628</v>
      </c>
      <c r="F114" s="483">
        <f t="shared" si="56"/>
        <v>2168013</v>
      </c>
      <c r="G114" s="483">
        <f t="shared" si="57"/>
        <v>2208327</v>
      </c>
      <c r="H114" s="486">
        <f t="shared" si="58"/>
        <v>331919.69725679338</v>
      </c>
      <c r="I114" s="540">
        <f t="shared" si="59"/>
        <v>331919.69725679338</v>
      </c>
      <c r="J114" s="476">
        <f t="shared" si="32"/>
        <v>0</v>
      </c>
      <c r="K114" s="476"/>
      <c r="L114" s="485"/>
      <c r="M114" s="476">
        <f t="shared" si="54"/>
        <v>0</v>
      </c>
      <c r="N114" s="485"/>
      <c r="O114" s="476">
        <f t="shared" si="47"/>
        <v>0</v>
      </c>
      <c r="P114" s="476">
        <f t="shared" si="48"/>
        <v>0</v>
      </c>
    </row>
    <row r="115" spans="2:16">
      <c r="B115" s="160" t="str">
        <f t="shared" si="38"/>
        <v/>
      </c>
      <c r="C115" s="470">
        <f>IF(D93="","-",+C114+1)</f>
        <v>2028</v>
      </c>
      <c r="D115" s="345">
        <f>IF(F114+SUM(E$99:E114)=D$92,F114,D$92-SUM(E$99:E114))</f>
        <v>2168013</v>
      </c>
      <c r="E115" s="484">
        <f t="shared" si="55"/>
        <v>80628</v>
      </c>
      <c r="F115" s="483">
        <f t="shared" si="56"/>
        <v>2087385</v>
      </c>
      <c r="G115" s="483">
        <f t="shared" si="57"/>
        <v>2127699</v>
      </c>
      <c r="H115" s="486">
        <f t="shared" si="58"/>
        <v>322744.81194025255</v>
      </c>
      <c r="I115" s="540">
        <f t="shared" si="59"/>
        <v>322744.81194025255</v>
      </c>
      <c r="J115" s="476">
        <f t="shared" si="32"/>
        <v>0</v>
      </c>
      <c r="K115" s="476"/>
      <c r="L115" s="485"/>
      <c r="M115" s="476">
        <f t="shared" si="54"/>
        <v>0</v>
      </c>
      <c r="N115" s="485"/>
      <c r="O115" s="476">
        <f t="shared" si="47"/>
        <v>0</v>
      </c>
      <c r="P115" s="476">
        <f t="shared" si="48"/>
        <v>0</v>
      </c>
    </row>
    <row r="116" spans="2:16">
      <c r="B116" s="160" t="str">
        <f t="shared" si="38"/>
        <v/>
      </c>
      <c r="C116" s="470">
        <f>IF(D93="","-",+C115+1)</f>
        <v>2029</v>
      </c>
      <c r="D116" s="345">
        <f>IF(F115+SUM(E$99:E115)=D$92,F115,D$92-SUM(E$99:E115))</f>
        <v>2087385</v>
      </c>
      <c r="E116" s="484">
        <f t="shared" si="55"/>
        <v>80628</v>
      </c>
      <c r="F116" s="483">
        <f t="shared" si="56"/>
        <v>2006757</v>
      </c>
      <c r="G116" s="483">
        <f t="shared" si="57"/>
        <v>2047071</v>
      </c>
      <c r="H116" s="486">
        <f t="shared" si="58"/>
        <v>313569.92662371165</v>
      </c>
      <c r="I116" s="540">
        <f t="shared" si="59"/>
        <v>313569.92662371165</v>
      </c>
      <c r="J116" s="476">
        <f t="shared" si="32"/>
        <v>0</v>
      </c>
      <c r="K116" s="476"/>
      <c r="L116" s="485"/>
      <c r="M116" s="476">
        <f t="shared" si="54"/>
        <v>0</v>
      </c>
      <c r="N116" s="485"/>
      <c r="O116" s="476">
        <f t="shared" si="47"/>
        <v>0</v>
      </c>
      <c r="P116" s="476">
        <f t="shared" si="48"/>
        <v>0</v>
      </c>
    </row>
    <row r="117" spans="2:16">
      <c r="B117" s="160" t="str">
        <f t="shared" si="38"/>
        <v/>
      </c>
      <c r="C117" s="470">
        <f>IF(D93="","-",+C116+1)</f>
        <v>2030</v>
      </c>
      <c r="D117" s="345">
        <f>IF(F116+SUM(E$99:E116)=D$92,F116,D$92-SUM(E$99:E116))</f>
        <v>2006757</v>
      </c>
      <c r="E117" s="484">
        <f t="shared" si="55"/>
        <v>80628</v>
      </c>
      <c r="F117" s="483">
        <f t="shared" si="56"/>
        <v>1926129</v>
      </c>
      <c r="G117" s="483">
        <f t="shared" si="57"/>
        <v>1966443</v>
      </c>
      <c r="H117" s="486">
        <f t="shared" si="58"/>
        <v>304395.04130717076</v>
      </c>
      <c r="I117" s="540">
        <f t="shared" si="59"/>
        <v>304395.04130717076</v>
      </c>
      <c r="J117" s="476">
        <f t="shared" si="32"/>
        <v>0</v>
      </c>
      <c r="K117" s="476"/>
      <c r="L117" s="485"/>
      <c r="M117" s="476">
        <f t="shared" si="54"/>
        <v>0</v>
      </c>
      <c r="N117" s="485"/>
      <c r="O117" s="476">
        <f t="shared" si="47"/>
        <v>0</v>
      </c>
      <c r="P117" s="476">
        <f t="shared" si="48"/>
        <v>0</v>
      </c>
    </row>
    <row r="118" spans="2:16">
      <c r="B118" s="160" t="str">
        <f t="shared" si="38"/>
        <v/>
      </c>
      <c r="C118" s="470">
        <f>IF(D93="","-",+C117+1)</f>
        <v>2031</v>
      </c>
      <c r="D118" s="345">
        <f>IF(F117+SUM(E$99:E117)=D$92,F117,D$92-SUM(E$99:E117))</f>
        <v>1926129</v>
      </c>
      <c r="E118" s="484">
        <f t="shared" si="55"/>
        <v>80628</v>
      </c>
      <c r="F118" s="483">
        <f t="shared" si="56"/>
        <v>1845501</v>
      </c>
      <c r="G118" s="483">
        <f t="shared" si="57"/>
        <v>1885815</v>
      </c>
      <c r="H118" s="486">
        <f t="shared" si="58"/>
        <v>295220.15599062992</v>
      </c>
      <c r="I118" s="540">
        <f t="shared" si="59"/>
        <v>295220.15599062992</v>
      </c>
      <c r="J118" s="476">
        <f t="shared" si="32"/>
        <v>0</v>
      </c>
      <c r="K118" s="476"/>
      <c r="L118" s="485"/>
      <c r="M118" s="476">
        <f t="shared" si="54"/>
        <v>0</v>
      </c>
      <c r="N118" s="485"/>
      <c r="O118" s="476">
        <f t="shared" si="47"/>
        <v>0</v>
      </c>
      <c r="P118" s="476">
        <f t="shared" si="48"/>
        <v>0</v>
      </c>
    </row>
    <row r="119" spans="2:16">
      <c r="B119" s="160" t="str">
        <f t="shared" si="38"/>
        <v/>
      </c>
      <c r="C119" s="470">
        <f>IF(D93="","-",+C118+1)</f>
        <v>2032</v>
      </c>
      <c r="D119" s="345">
        <f>IF(F118+SUM(E$99:E118)=D$92,F118,D$92-SUM(E$99:E118))</f>
        <v>1845501</v>
      </c>
      <c r="E119" s="484">
        <f t="shared" si="55"/>
        <v>80628</v>
      </c>
      <c r="F119" s="483">
        <f t="shared" si="56"/>
        <v>1764873</v>
      </c>
      <c r="G119" s="483">
        <f t="shared" si="57"/>
        <v>1805187</v>
      </c>
      <c r="H119" s="486">
        <f t="shared" si="58"/>
        <v>286045.27067408909</v>
      </c>
      <c r="I119" s="540">
        <f t="shared" si="59"/>
        <v>286045.27067408909</v>
      </c>
      <c r="J119" s="476">
        <f t="shared" si="32"/>
        <v>0</v>
      </c>
      <c r="K119" s="476"/>
      <c r="L119" s="485"/>
      <c r="M119" s="476">
        <f t="shared" si="54"/>
        <v>0</v>
      </c>
      <c r="N119" s="485"/>
      <c r="O119" s="476">
        <f t="shared" si="47"/>
        <v>0</v>
      </c>
      <c r="P119" s="476">
        <f t="shared" si="48"/>
        <v>0</v>
      </c>
    </row>
    <row r="120" spans="2:16">
      <c r="B120" s="160" t="str">
        <f t="shared" si="38"/>
        <v/>
      </c>
      <c r="C120" s="470">
        <f>IF(D93="","-",+C119+1)</f>
        <v>2033</v>
      </c>
      <c r="D120" s="345">
        <f>IF(F119+SUM(E$99:E119)=D$92,F119,D$92-SUM(E$99:E119))</f>
        <v>1764873</v>
      </c>
      <c r="E120" s="484">
        <f t="shared" si="55"/>
        <v>80628</v>
      </c>
      <c r="F120" s="483">
        <f t="shared" si="56"/>
        <v>1684245</v>
      </c>
      <c r="G120" s="483">
        <f t="shared" si="57"/>
        <v>1724559</v>
      </c>
      <c r="H120" s="486">
        <f t="shared" si="58"/>
        <v>276870.38535754819</v>
      </c>
      <c r="I120" s="540">
        <f t="shared" si="59"/>
        <v>276870.38535754819</v>
      </c>
      <c r="J120" s="476">
        <f t="shared" si="32"/>
        <v>0</v>
      </c>
      <c r="K120" s="476"/>
      <c r="L120" s="485"/>
      <c r="M120" s="476">
        <f t="shared" si="54"/>
        <v>0</v>
      </c>
      <c r="N120" s="485"/>
      <c r="O120" s="476">
        <f t="shared" si="47"/>
        <v>0</v>
      </c>
      <c r="P120" s="476">
        <f t="shared" si="48"/>
        <v>0</v>
      </c>
    </row>
    <row r="121" spans="2:16">
      <c r="B121" s="160" t="str">
        <f t="shared" si="38"/>
        <v/>
      </c>
      <c r="C121" s="470">
        <f>IF(D93="","-",+C120+1)</f>
        <v>2034</v>
      </c>
      <c r="D121" s="345">
        <f>IF(F120+SUM(E$99:E120)=D$92,F120,D$92-SUM(E$99:E120))</f>
        <v>1684245</v>
      </c>
      <c r="E121" s="484">
        <f t="shared" si="55"/>
        <v>80628</v>
      </c>
      <c r="F121" s="483">
        <f t="shared" si="56"/>
        <v>1603617</v>
      </c>
      <c r="G121" s="483">
        <f t="shared" si="57"/>
        <v>1643931</v>
      </c>
      <c r="H121" s="486">
        <f t="shared" si="58"/>
        <v>267695.5000410073</v>
      </c>
      <c r="I121" s="540">
        <f t="shared" si="59"/>
        <v>267695.5000410073</v>
      </c>
      <c r="J121" s="476">
        <f t="shared" si="32"/>
        <v>0</v>
      </c>
      <c r="K121" s="476"/>
      <c r="L121" s="485"/>
      <c r="M121" s="476">
        <f t="shared" si="54"/>
        <v>0</v>
      </c>
      <c r="N121" s="485"/>
      <c r="O121" s="476">
        <f t="shared" si="47"/>
        <v>0</v>
      </c>
      <c r="P121" s="476">
        <f t="shared" si="48"/>
        <v>0</v>
      </c>
    </row>
    <row r="122" spans="2:16">
      <c r="B122" s="160" t="str">
        <f t="shared" si="38"/>
        <v/>
      </c>
      <c r="C122" s="470">
        <f>IF(D93="","-",+C121+1)</f>
        <v>2035</v>
      </c>
      <c r="D122" s="345">
        <f>IF(F121+SUM(E$99:E121)=D$92,F121,D$92-SUM(E$99:E121))</f>
        <v>1603617</v>
      </c>
      <c r="E122" s="484">
        <f t="shared" si="55"/>
        <v>80628</v>
      </c>
      <c r="F122" s="483">
        <f t="shared" si="56"/>
        <v>1522989</v>
      </c>
      <c r="G122" s="483">
        <f t="shared" si="57"/>
        <v>1563303</v>
      </c>
      <c r="H122" s="486">
        <f t="shared" si="58"/>
        <v>258520.61472446646</v>
      </c>
      <c r="I122" s="540">
        <f t="shared" si="59"/>
        <v>258520.61472446646</v>
      </c>
      <c r="J122" s="476">
        <f t="shared" si="32"/>
        <v>0</v>
      </c>
      <c r="K122" s="476"/>
      <c r="L122" s="485"/>
      <c r="M122" s="476">
        <f t="shared" si="54"/>
        <v>0</v>
      </c>
      <c r="N122" s="485"/>
      <c r="O122" s="476">
        <f t="shared" si="47"/>
        <v>0</v>
      </c>
      <c r="P122" s="476">
        <f t="shared" si="48"/>
        <v>0</v>
      </c>
    </row>
    <row r="123" spans="2:16">
      <c r="B123" s="160" t="str">
        <f t="shared" si="38"/>
        <v/>
      </c>
      <c r="C123" s="470">
        <f>IF(D93="","-",+C122+1)</f>
        <v>2036</v>
      </c>
      <c r="D123" s="345">
        <f>IF(F122+SUM(E$99:E122)=D$92,F122,D$92-SUM(E$99:E122))</f>
        <v>1522989</v>
      </c>
      <c r="E123" s="484">
        <f t="shared" si="55"/>
        <v>80628</v>
      </c>
      <c r="F123" s="483">
        <f t="shared" si="56"/>
        <v>1442361</v>
      </c>
      <c r="G123" s="483">
        <f t="shared" si="57"/>
        <v>1482675</v>
      </c>
      <c r="H123" s="486">
        <f t="shared" si="58"/>
        <v>249345.7294079256</v>
      </c>
      <c r="I123" s="540">
        <f t="shared" si="59"/>
        <v>249345.7294079256</v>
      </c>
      <c r="J123" s="476">
        <f t="shared" si="32"/>
        <v>0</v>
      </c>
      <c r="K123" s="476"/>
      <c r="L123" s="485"/>
      <c r="M123" s="476">
        <f t="shared" si="54"/>
        <v>0</v>
      </c>
      <c r="N123" s="485"/>
      <c r="O123" s="476">
        <f t="shared" si="47"/>
        <v>0</v>
      </c>
      <c r="P123" s="476">
        <f t="shared" si="48"/>
        <v>0</v>
      </c>
    </row>
    <row r="124" spans="2:16">
      <c r="B124" s="160" t="str">
        <f t="shared" si="38"/>
        <v/>
      </c>
      <c r="C124" s="470">
        <f>IF(D93="","-",+C123+1)</f>
        <v>2037</v>
      </c>
      <c r="D124" s="345">
        <f>IF(F123+SUM(E$99:E123)=D$92,F123,D$92-SUM(E$99:E123))</f>
        <v>1442361</v>
      </c>
      <c r="E124" s="484">
        <f t="shared" si="55"/>
        <v>80628</v>
      </c>
      <c r="F124" s="483">
        <f t="shared" si="56"/>
        <v>1361733</v>
      </c>
      <c r="G124" s="483">
        <f t="shared" si="57"/>
        <v>1402047</v>
      </c>
      <c r="H124" s="486">
        <f t="shared" si="58"/>
        <v>240170.84409138473</v>
      </c>
      <c r="I124" s="540">
        <f t="shared" si="59"/>
        <v>240170.84409138473</v>
      </c>
      <c r="J124" s="476">
        <f t="shared" si="32"/>
        <v>0</v>
      </c>
      <c r="K124" s="476"/>
      <c r="L124" s="485"/>
      <c r="M124" s="476">
        <f t="shared" si="54"/>
        <v>0</v>
      </c>
      <c r="N124" s="485"/>
      <c r="O124" s="476">
        <f t="shared" si="47"/>
        <v>0</v>
      </c>
      <c r="P124" s="476">
        <f t="shared" si="48"/>
        <v>0</v>
      </c>
    </row>
    <row r="125" spans="2:16">
      <c r="B125" s="160" t="str">
        <f t="shared" si="38"/>
        <v/>
      </c>
      <c r="C125" s="470">
        <f>IF(D93="","-",+C124+1)</f>
        <v>2038</v>
      </c>
      <c r="D125" s="345">
        <f>IF(F124+SUM(E$99:E124)=D$92,F124,D$92-SUM(E$99:E124))</f>
        <v>1361733</v>
      </c>
      <c r="E125" s="484">
        <f t="shared" si="55"/>
        <v>80628</v>
      </c>
      <c r="F125" s="483">
        <f t="shared" si="56"/>
        <v>1281105</v>
      </c>
      <c r="G125" s="483">
        <f t="shared" si="57"/>
        <v>1321419</v>
      </c>
      <c r="H125" s="486">
        <f t="shared" si="58"/>
        <v>230995.95877484386</v>
      </c>
      <c r="I125" s="540">
        <f t="shared" si="59"/>
        <v>230995.95877484386</v>
      </c>
      <c r="J125" s="476">
        <f t="shared" si="32"/>
        <v>0</v>
      </c>
      <c r="K125" s="476"/>
      <c r="L125" s="485"/>
      <c r="M125" s="476">
        <f t="shared" si="54"/>
        <v>0</v>
      </c>
      <c r="N125" s="485"/>
      <c r="O125" s="476">
        <f t="shared" si="47"/>
        <v>0</v>
      </c>
      <c r="P125" s="476">
        <f t="shared" si="48"/>
        <v>0</v>
      </c>
    </row>
    <row r="126" spans="2:16">
      <c r="B126" s="160" t="str">
        <f t="shared" si="38"/>
        <v/>
      </c>
      <c r="C126" s="470">
        <f>IF(D93="","-",+C125+1)</f>
        <v>2039</v>
      </c>
      <c r="D126" s="345">
        <f>IF(F125+SUM(E$99:E125)=D$92,F125,D$92-SUM(E$99:E125))</f>
        <v>1281105</v>
      </c>
      <c r="E126" s="484">
        <f t="shared" si="55"/>
        <v>80628</v>
      </c>
      <c r="F126" s="483">
        <f t="shared" si="56"/>
        <v>1200477</v>
      </c>
      <c r="G126" s="483">
        <f t="shared" si="57"/>
        <v>1240791</v>
      </c>
      <c r="H126" s="486">
        <f t="shared" si="58"/>
        <v>221821.073458303</v>
      </c>
      <c r="I126" s="540">
        <f t="shared" si="59"/>
        <v>221821.073458303</v>
      </c>
      <c r="J126" s="476">
        <f t="shared" si="32"/>
        <v>0</v>
      </c>
      <c r="K126" s="476"/>
      <c r="L126" s="485"/>
      <c r="M126" s="476">
        <f t="shared" si="54"/>
        <v>0</v>
      </c>
      <c r="N126" s="485"/>
      <c r="O126" s="476">
        <f t="shared" si="47"/>
        <v>0</v>
      </c>
      <c r="P126" s="476">
        <f t="shared" si="48"/>
        <v>0</v>
      </c>
    </row>
    <row r="127" spans="2:16">
      <c r="B127" s="160" t="str">
        <f t="shared" si="38"/>
        <v/>
      </c>
      <c r="C127" s="470">
        <f>IF(D93="","-",+C126+1)</f>
        <v>2040</v>
      </c>
      <c r="D127" s="345">
        <f>IF(F126+SUM(E$99:E126)=D$92,F126,D$92-SUM(E$99:E126))</f>
        <v>1200477</v>
      </c>
      <c r="E127" s="484">
        <f t="shared" si="55"/>
        <v>80628</v>
      </c>
      <c r="F127" s="483">
        <f t="shared" si="56"/>
        <v>1119849</v>
      </c>
      <c r="G127" s="483">
        <f t="shared" si="57"/>
        <v>1160163</v>
      </c>
      <c r="H127" s="486">
        <f t="shared" si="58"/>
        <v>212646.18814176213</v>
      </c>
      <c r="I127" s="540">
        <f t="shared" si="59"/>
        <v>212646.18814176213</v>
      </c>
      <c r="J127" s="476">
        <f t="shared" si="32"/>
        <v>0</v>
      </c>
      <c r="K127" s="476"/>
      <c r="L127" s="485"/>
      <c r="M127" s="476">
        <f t="shared" si="54"/>
        <v>0</v>
      </c>
      <c r="N127" s="485"/>
      <c r="O127" s="476">
        <f t="shared" si="47"/>
        <v>0</v>
      </c>
      <c r="P127" s="476">
        <f t="shared" si="48"/>
        <v>0</v>
      </c>
    </row>
    <row r="128" spans="2:16">
      <c r="B128" s="160" t="str">
        <f t="shared" si="38"/>
        <v/>
      </c>
      <c r="C128" s="470">
        <f>IF(D93="","-",+C127+1)</f>
        <v>2041</v>
      </c>
      <c r="D128" s="345">
        <f>IF(F127+SUM(E$99:E127)=D$92,F127,D$92-SUM(E$99:E127))</f>
        <v>1119849</v>
      </c>
      <c r="E128" s="484">
        <f t="shared" si="55"/>
        <v>80628</v>
      </c>
      <c r="F128" s="483">
        <f t="shared" si="56"/>
        <v>1039221</v>
      </c>
      <c r="G128" s="483">
        <f t="shared" si="57"/>
        <v>1079535</v>
      </c>
      <c r="H128" s="486">
        <f t="shared" si="58"/>
        <v>203471.30282522127</v>
      </c>
      <c r="I128" s="540">
        <f t="shared" si="59"/>
        <v>203471.30282522127</v>
      </c>
      <c r="J128" s="476">
        <f t="shared" si="32"/>
        <v>0</v>
      </c>
      <c r="K128" s="476"/>
      <c r="L128" s="485"/>
      <c r="M128" s="476">
        <f t="shared" si="54"/>
        <v>0</v>
      </c>
      <c r="N128" s="485"/>
      <c r="O128" s="476">
        <f t="shared" si="47"/>
        <v>0</v>
      </c>
      <c r="P128" s="476">
        <f t="shared" si="48"/>
        <v>0</v>
      </c>
    </row>
    <row r="129" spans="2:16">
      <c r="B129" s="160" t="str">
        <f t="shared" si="38"/>
        <v/>
      </c>
      <c r="C129" s="470">
        <f>IF(D93="","-",+C128+1)</f>
        <v>2042</v>
      </c>
      <c r="D129" s="345">
        <f>IF(F128+SUM(E$99:E128)=D$92,F128,D$92-SUM(E$99:E128))</f>
        <v>1039221</v>
      </c>
      <c r="E129" s="484">
        <f t="shared" si="55"/>
        <v>80628</v>
      </c>
      <c r="F129" s="483">
        <f t="shared" si="56"/>
        <v>958593</v>
      </c>
      <c r="G129" s="483">
        <f t="shared" si="57"/>
        <v>998907</v>
      </c>
      <c r="H129" s="486">
        <f t="shared" si="58"/>
        <v>194296.41750868043</v>
      </c>
      <c r="I129" s="540">
        <f t="shared" si="59"/>
        <v>194296.41750868043</v>
      </c>
      <c r="J129" s="476">
        <f t="shared" si="32"/>
        <v>0</v>
      </c>
      <c r="K129" s="476"/>
      <c r="L129" s="485"/>
      <c r="M129" s="476">
        <f t="shared" si="54"/>
        <v>0</v>
      </c>
      <c r="N129" s="485"/>
      <c r="O129" s="476">
        <f t="shared" si="47"/>
        <v>0</v>
      </c>
      <c r="P129" s="476">
        <f t="shared" si="48"/>
        <v>0</v>
      </c>
    </row>
    <row r="130" spans="2:16">
      <c r="B130" s="160" t="str">
        <f t="shared" si="38"/>
        <v/>
      </c>
      <c r="C130" s="470">
        <f>IF(D93="","-",+C129+1)</f>
        <v>2043</v>
      </c>
      <c r="D130" s="345">
        <f>IF(F129+SUM(E$99:E129)=D$92,F129,D$92-SUM(E$99:E129))</f>
        <v>958593</v>
      </c>
      <c r="E130" s="484">
        <f t="shared" si="55"/>
        <v>80628</v>
      </c>
      <c r="F130" s="483">
        <f t="shared" si="56"/>
        <v>877965</v>
      </c>
      <c r="G130" s="483">
        <f t="shared" si="57"/>
        <v>918279</v>
      </c>
      <c r="H130" s="486">
        <f t="shared" si="58"/>
        <v>185121.53219213954</v>
      </c>
      <c r="I130" s="540">
        <f t="shared" si="59"/>
        <v>185121.53219213954</v>
      </c>
      <c r="J130" s="476">
        <f t="shared" si="32"/>
        <v>0</v>
      </c>
      <c r="K130" s="476"/>
      <c r="L130" s="485"/>
      <c r="M130" s="476">
        <f t="shared" si="54"/>
        <v>0</v>
      </c>
      <c r="N130" s="485"/>
      <c r="O130" s="476">
        <f t="shared" si="47"/>
        <v>0</v>
      </c>
      <c r="P130" s="476">
        <f t="shared" si="48"/>
        <v>0</v>
      </c>
    </row>
    <row r="131" spans="2:16">
      <c r="B131" s="160" t="str">
        <f t="shared" si="38"/>
        <v/>
      </c>
      <c r="C131" s="470">
        <f>IF(D93="","-",+C130+1)</f>
        <v>2044</v>
      </c>
      <c r="D131" s="345">
        <f>IF(F130+SUM(E$99:E130)=D$92,F130,D$92-SUM(E$99:E130))</f>
        <v>877965</v>
      </c>
      <c r="E131" s="484">
        <f t="shared" si="55"/>
        <v>80628</v>
      </c>
      <c r="F131" s="483">
        <f t="shared" si="56"/>
        <v>797337</v>
      </c>
      <c r="G131" s="483">
        <f t="shared" si="57"/>
        <v>837651</v>
      </c>
      <c r="H131" s="486">
        <f t="shared" ref="H131:H154" si="60">+J$94*G131+E131</f>
        <v>175946.6468755987</v>
      </c>
      <c r="I131" s="540">
        <f t="shared" ref="I131:I154" si="61">+J$95*G131+E131</f>
        <v>175946.6468755987</v>
      </c>
      <c r="J131" s="476">
        <f t="shared" ref="J131:J154" si="62">+I541-H541</f>
        <v>0</v>
      </c>
      <c r="K131" s="476"/>
      <c r="L131" s="485"/>
      <c r="M131" s="476">
        <f t="shared" ref="M131:M154" si="63">IF(L541&lt;&gt;0,+H541-L541,0)</f>
        <v>0</v>
      </c>
      <c r="N131" s="485"/>
      <c r="O131" s="476">
        <f t="shared" ref="O131:O154" si="64">IF(N541&lt;&gt;0,+I541-N541,0)</f>
        <v>0</v>
      </c>
      <c r="P131" s="476">
        <f t="shared" ref="P131:P154" si="65">+O541-M541</f>
        <v>0</v>
      </c>
    </row>
    <row r="132" spans="2:16">
      <c r="B132" s="160" t="str">
        <f t="shared" ref="B132:B154" si="66">IF(D132=F131,"","IU")</f>
        <v/>
      </c>
      <c r="C132" s="470">
        <f>IF(D93="","-",+C131+1)</f>
        <v>2045</v>
      </c>
      <c r="D132" s="345">
        <f>IF(F131+SUM(E$99:E131)=D$92,F131,D$92-SUM(E$99:E131))</f>
        <v>797337</v>
      </c>
      <c r="E132" s="484">
        <f t="shared" si="55"/>
        <v>80628</v>
      </c>
      <c r="F132" s="483">
        <f t="shared" si="56"/>
        <v>716709</v>
      </c>
      <c r="G132" s="483">
        <f t="shared" si="57"/>
        <v>757023</v>
      </c>
      <c r="H132" s="486">
        <f t="shared" si="60"/>
        <v>166771.76155905781</v>
      </c>
      <c r="I132" s="540">
        <f t="shared" si="61"/>
        <v>166771.76155905781</v>
      </c>
      <c r="J132" s="476">
        <f t="shared" si="62"/>
        <v>0</v>
      </c>
      <c r="K132" s="476"/>
      <c r="L132" s="485"/>
      <c r="M132" s="476">
        <f t="shared" si="63"/>
        <v>0</v>
      </c>
      <c r="N132" s="485"/>
      <c r="O132" s="476">
        <f t="shared" si="64"/>
        <v>0</v>
      </c>
      <c r="P132" s="476">
        <f t="shared" si="65"/>
        <v>0</v>
      </c>
    </row>
    <row r="133" spans="2:16">
      <c r="B133" s="160" t="str">
        <f t="shared" si="66"/>
        <v/>
      </c>
      <c r="C133" s="470">
        <f>IF(D93="","-",+C132+1)</f>
        <v>2046</v>
      </c>
      <c r="D133" s="345">
        <f>IF(F132+SUM(E$99:E132)=D$92,F132,D$92-SUM(E$99:E132))</f>
        <v>716709</v>
      </c>
      <c r="E133" s="484">
        <f t="shared" si="55"/>
        <v>80628</v>
      </c>
      <c r="F133" s="483">
        <f t="shared" si="56"/>
        <v>636081</v>
      </c>
      <c r="G133" s="483">
        <f t="shared" si="57"/>
        <v>676395</v>
      </c>
      <c r="H133" s="486">
        <f t="shared" si="60"/>
        <v>157596.87624251697</v>
      </c>
      <c r="I133" s="540">
        <f t="shared" si="61"/>
        <v>157596.87624251697</v>
      </c>
      <c r="J133" s="476">
        <f t="shared" si="62"/>
        <v>0</v>
      </c>
      <c r="K133" s="476"/>
      <c r="L133" s="485"/>
      <c r="M133" s="476">
        <f t="shared" si="63"/>
        <v>0</v>
      </c>
      <c r="N133" s="485"/>
      <c r="O133" s="476">
        <f t="shared" si="64"/>
        <v>0</v>
      </c>
      <c r="P133" s="476">
        <f t="shared" si="65"/>
        <v>0</v>
      </c>
    </row>
    <row r="134" spans="2:16">
      <c r="B134" s="160" t="str">
        <f t="shared" si="66"/>
        <v/>
      </c>
      <c r="C134" s="470">
        <f>IF(D93="","-",+C133+1)</f>
        <v>2047</v>
      </c>
      <c r="D134" s="345">
        <f>IF(F133+SUM(E$99:E133)=D$92,F133,D$92-SUM(E$99:E133))</f>
        <v>636081</v>
      </c>
      <c r="E134" s="484">
        <f t="shared" si="55"/>
        <v>80628</v>
      </c>
      <c r="F134" s="483">
        <f t="shared" si="56"/>
        <v>555453</v>
      </c>
      <c r="G134" s="483">
        <f t="shared" si="57"/>
        <v>595767</v>
      </c>
      <c r="H134" s="486">
        <f t="shared" si="60"/>
        <v>148421.9909259761</v>
      </c>
      <c r="I134" s="540">
        <f t="shared" si="61"/>
        <v>148421.9909259761</v>
      </c>
      <c r="J134" s="476">
        <f t="shared" si="62"/>
        <v>0</v>
      </c>
      <c r="K134" s="476"/>
      <c r="L134" s="485"/>
      <c r="M134" s="476">
        <f t="shared" si="63"/>
        <v>0</v>
      </c>
      <c r="N134" s="485"/>
      <c r="O134" s="476">
        <f t="shared" si="64"/>
        <v>0</v>
      </c>
      <c r="P134" s="476">
        <f t="shared" si="65"/>
        <v>0</v>
      </c>
    </row>
    <row r="135" spans="2:16">
      <c r="B135" s="160" t="str">
        <f t="shared" si="66"/>
        <v/>
      </c>
      <c r="C135" s="470">
        <f>IF(D93="","-",+C134+1)</f>
        <v>2048</v>
      </c>
      <c r="D135" s="345">
        <f>IF(F134+SUM(E$99:E134)=D$92,F134,D$92-SUM(E$99:E134))</f>
        <v>555453</v>
      </c>
      <c r="E135" s="484">
        <f t="shared" si="55"/>
        <v>80628</v>
      </c>
      <c r="F135" s="483">
        <f t="shared" si="56"/>
        <v>474825</v>
      </c>
      <c r="G135" s="483">
        <f t="shared" si="57"/>
        <v>515139</v>
      </c>
      <c r="H135" s="486">
        <f t="shared" si="60"/>
        <v>139247.10560943524</v>
      </c>
      <c r="I135" s="540">
        <f t="shared" si="61"/>
        <v>139247.10560943524</v>
      </c>
      <c r="J135" s="476">
        <f t="shared" si="62"/>
        <v>0</v>
      </c>
      <c r="K135" s="476"/>
      <c r="L135" s="485"/>
      <c r="M135" s="476">
        <f t="shared" si="63"/>
        <v>0</v>
      </c>
      <c r="N135" s="485"/>
      <c r="O135" s="476">
        <f t="shared" si="64"/>
        <v>0</v>
      </c>
      <c r="P135" s="476">
        <f t="shared" si="65"/>
        <v>0</v>
      </c>
    </row>
    <row r="136" spans="2:16">
      <c r="B136" s="160" t="str">
        <f t="shared" si="66"/>
        <v/>
      </c>
      <c r="C136" s="470">
        <f>IF(D93="","-",+C135+1)</f>
        <v>2049</v>
      </c>
      <c r="D136" s="345">
        <f>IF(F135+SUM(E$99:E135)=D$92,F135,D$92-SUM(E$99:E135))</f>
        <v>474825</v>
      </c>
      <c r="E136" s="484">
        <f t="shared" si="55"/>
        <v>80628</v>
      </c>
      <c r="F136" s="483">
        <f t="shared" si="56"/>
        <v>394197</v>
      </c>
      <c r="G136" s="483">
        <f t="shared" si="57"/>
        <v>434511</v>
      </c>
      <c r="H136" s="486">
        <f t="shared" si="60"/>
        <v>130072.22029289437</v>
      </c>
      <c r="I136" s="540">
        <f t="shared" si="61"/>
        <v>130072.22029289437</v>
      </c>
      <c r="J136" s="476">
        <f t="shared" si="62"/>
        <v>0</v>
      </c>
      <c r="K136" s="476"/>
      <c r="L136" s="485"/>
      <c r="M136" s="476">
        <f t="shared" si="63"/>
        <v>0</v>
      </c>
      <c r="N136" s="485"/>
      <c r="O136" s="476">
        <f t="shared" si="64"/>
        <v>0</v>
      </c>
      <c r="P136" s="476">
        <f t="shared" si="65"/>
        <v>0</v>
      </c>
    </row>
    <row r="137" spans="2:16">
      <c r="B137" s="160" t="str">
        <f t="shared" si="66"/>
        <v/>
      </c>
      <c r="C137" s="470">
        <f>IF(D93="","-",+C136+1)</f>
        <v>2050</v>
      </c>
      <c r="D137" s="345">
        <f>IF(F136+SUM(E$99:E136)=D$92,F136,D$92-SUM(E$99:E136))</f>
        <v>394197</v>
      </c>
      <c r="E137" s="484">
        <f t="shared" si="55"/>
        <v>80628</v>
      </c>
      <c r="F137" s="483">
        <f t="shared" si="56"/>
        <v>313569</v>
      </c>
      <c r="G137" s="483">
        <f t="shared" si="57"/>
        <v>353883</v>
      </c>
      <c r="H137" s="486">
        <f t="shared" si="60"/>
        <v>120897.33497635351</v>
      </c>
      <c r="I137" s="540">
        <f t="shared" si="61"/>
        <v>120897.33497635351</v>
      </c>
      <c r="J137" s="476">
        <f t="shared" si="62"/>
        <v>0</v>
      </c>
      <c r="K137" s="476"/>
      <c r="L137" s="485"/>
      <c r="M137" s="476">
        <f t="shared" si="63"/>
        <v>0</v>
      </c>
      <c r="N137" s="485"/>
      <c r="O137" s="476">
        <f t="shared" si="64"/>
        <v>0</v>
      </c>
      <c r="P137" s="476">
        <f t="shared" si="65"/>
        <v>0</v>
      </c>
    </row>
    <row r="138" spans="2:16">
      <c r="B138" s="160" t="str">
        <f t="shared" si="66"/>
        <v/>
      </c>
      <c r="C138" s="470">
        <f>IF(D93="","-",+C137+1)</f>
        <v>2051</v>
      </c>
      <c r="D138" s="345">
        <f>IF(F137+SUM(E$99:E137)=D$92,F137,D$92-SUM(E$99:E137))</f>
        <v>313569</v>
      </c>
      <c r="E138" s="484">
        <f t="shared" si="55"/>
        <v>80628</v>
      </c>
      <c r="F138" s="483">
        <f t="shared" si="56"/>
        <v>232941</v>
      </c>
      <c r="G138" s="483">
        <f t="shared" si="57"/>
        <v>273255</v>
      </c>
      <c r="H138" s="486">
        <f t="shared" si="60"/>
        <v>111722.44965981264</v>
      </c>
      <c r="I138" s="540">
        <f t="shared" si="61"/>
        <v>111722.44965981264</v>
      </c>
      <c r="J138" s="476">
        <f t="shared" si="62"/>
        <v>0</v>
      </c>
      <c r="K138" s="476"/>
      <c r="L138" s="485"/>
      <c r="M138" s="476">
        <f t="shared" si="63"/>
        <v>0</v>
      </c>
      <c r="N138" s="485"/>
      <c r="O138" s="476">
        <f t="shared" si="64"/>
        <v>0</v>
      </c>
      <c r="P138" s="476">
        <f t="shared" si="65"/>
        <v>0</v>
      </c>
    </row>
    <row r="139" spans="2:16">
      <c r="B139" s="160" t="str">
        <f t="shared" si="66"/>
        <v/>
      </c>
      <c r="C139" s="470">
        <f>IF(D93="","-",+C138+1)</f>
        <v>2052</v>
      </c>
      <c r="D139" s="345">
        <f>IF(F138+SUM(E$99:E138)=D$92,F138,D$92-SUM(E$99:E138))</f>
        <v>232941</v>
      </c>
      <c r="E139" s="484">
        <f t="shared" si="55"/>
        <v>80628</v>
      </c>
      <c r="F139" s="483">
        <f t="shared" si="56"/>
        <v>152313</v>
      </c>
      <c r="G139" s="483">
        <f t="shared" si="57"/>
        <v>192627</v>
      </c>
      <c r="H139" s="486">
        <f t="shared" si="60"/>
        <v>102547.56434327178</v>
      </c>
      <c r="I139" s="540">
        <f t="shared" si="61"/>
        <v>102547.56434327178</v>
      </c>
      <c r="J139" s="476">
        <f t="shared" si="62"/>
        <v>0</v>
      </c>
      <c r="K139" s="476"/>
      <c r="L139" s="485"/>
      <c r="M139" s="476">
        <f t="shared" si="63"/>
        <v>0</v>
      </c>
      <c r="N139" s="485"/>
      <c r="O139" s="476">
        <f t="shared" si="64"/>
        <v>0</v>
      </c>
      <c r="P139" s="476">
        <f t="shared" si="65"/>
        <v>0</v>
      </c>
    </row>
    <row r="140" spans="2:16">
      <c r="B140" s="160" t="str">
        <f t="shared" si="66"/>
        <v/>
      </c>
      <c r="C140" s="470">
        <f>IF(D93="","-",+C139+1)</f>
        <v>2053</v>
      </c>
      <c r="D140" s="345">
        <f>IF(F139+SUM(E$99:E139)=D$92,F139,D$92-SUM(E$99:E139))</f>
        <v>152313</v>
      </c>
      <c r="E140" s="484">
        <f t="shared" si="55"/>
        <v>80628</v>
      </c>
      <c r="F140" s="483">
        <f t="shared" si="56"/>
        <v>71685</v>
      </c>
      <c r="G140" s="483">
        <f t="shared" si="57"/>
        <v>111999</v>
      </c>
      <c r="H140" s="486">
        <f t="shared" si="60"/>
        <v>93372.679026730912</v>
      </c>
      <c r="I140" s="540">
        <f t="shared" si="61"/>
        <v>93372.679026730912</v>
      </c>
      <c r="J140" s="476">
        <f t="shared" si="62"/>
        <v>0</v>
      </c>
      <c r="K140" s="476"/>
      <c r="L140" s="485"/>
      <c r="M140" s="476">
        <f t="shared" si="63"/>
        <v>0</v>
      </c>
      <c r="N140" s="485"/>
      <c r="O140" s="476">
        <f t="shared" si="64"/>
        <v>0</v>
      </c>
      <c r="P140" s="476">
        <f t="shared" si="65"/>
        <v>0</v>
      </c>
    </row>
    <row r="141" spans="2:16">
      <c r="B141" s="160" t="str">
        <f t="shared" si="66"/>
        <v/>
      </c>
      <c r="C141" s="470">
        <f>IF(D93="","-",+C140+1)</f>
        <v>2054</v>
      </c>
      <c r="D141" s="345">
        <f>IF(F140+SUM(E$99:E140)=D$92,F140,D$92-SUM(E$99:E140))</f>
        <v>71685</v>
      </c>
      <c r="E141" s="484">
        <f t="shared" si="55"/>
        <v>71685</v>
      </c>
      <c r="F141" s="483">
        <f t="shared" si="56"/>
        <v>0</v>
      </c>
      <c r="G141" s="483">
        <f t="shared" si="57"/>
        <v>35842.5</v>
      </c>
      <c r="H141" s="486">
        <f t="shared" si="60"/>
        <v>75763.618184230247</v>
      </c>
      <c r="I141" s="540">
        <f t="shared" si="61"/>
        <v>75763.618184230247</v>
      </c>
      <c r="J141" s="476">
        <f t="shared" si="62"/>
        <v>0</v>
      </c>
      <c r="K141" s="476"/>
      <c r="L141" s="485"/>
      <c r="M141" s="476">
        <f t="shared" si="63"/>
        <v>0</v>
      </c>
      <c r="N141" s="485"/>
      <c r="O141" s="476">
        <f t="shared" si="64"/>
        <v>0</v>
      </c>
      <c r="P141" s="476">
        <f t="shared" si="65"/>
        <v>0</v>
      </c>
    </row>
    <row r="142" spans="2:16">
      <c r="B142" s="160" t="str">
        <f t="shared" si="66"/>
        <v/>
      </c>
      <c r="C142" s="470">
        <f>IF(D93="","-",+C141+1)</f>
        <v>2055</v>
      </c>
      <c r="D142" s="345">
        <f>IF(F141+SUM(E$99:E141)=D$92,F141,D$92-SUM(E$99:E141))</f>
        <v>0</v>
      </c>
      <c r="E142" s="484">
        <f t="shared" si="55"/>
        <v>0</v>
      </c>
      <c r="F142" s="483">
        <f t="shared" si="56"/>
        <v>0</v>
      </c>
      <c r="G142" s="483">
        <f t="shared" si="57"/>
        <v>0</v>
      </c>
      <c r="H142" s="486">
        <f t="shared" si="60"/>
        <v>0</v>
      </c>
      <c r="I142" s="540">
        <f t="shared" si="61"/>
        <v>0</v>
      </c>
      <c r="J142" s="476">
        <f t="shared" si="62"/>
        <v>0</v>
      </c>
      <c r="K142" s="476"/>
      <c r="L142" s="485"/>
      <c r="M142" s="476">
        <f t="shared" si="63"/>
        <v>0</v>
      </c>
      <c r="N142" s="485"/>
      <c r="O142" s="476">
        <f t="shared" si="64"/>
        <v>0</v>
      </c>
      <c r="P142" s="476">
        <f t="shared" si="65"/>
        <v>0</v>
      </c>
    </row>
    <row r="143" spans="2:16">
      <c r="B143" s="160" t="str">
        <f t="shared" si="66"/>
        <v/>
      </c>
      <c r="C143" s="470">
        <f>IF(D93="","-",+C142+1)</f>
        <v>2056</v>
      </c>
      <c r="D143" s="345">
        <f>IF(F142+SUM(E$99:E142)=D$92,F142,D$92-SUM(E$99:E142))</f>
        <v>0</v>
      </c>
      <c r="E143" s="484">
        <f t="shared" si="55"/>
        <v>0</v>
      </c>
      <c r="F143" s="483">
        <f t="shared" si="56"/>
        <v>0</v>
      </c>
      <c r="G143" s="483">
        <f t="shared" si="57"/>
        <v>0</v>
      </c>
      <c r="H143" s="486">
        <f t="shared" si="60"/>
        <v>0</v>
      </c>
      <c r="I143" s="540">
        <f t="shared" si="61"/>
        <v>0</v>
      </c>
      <c r="J143" s="476">
        <f t="shared" si="62"/>
        <v>0</v>
      </c>
      <c r="K143" s="476"/>
      <c r="L143" s="485"/>
      <c r="M143" s="476">
        <f t="shared" si="63"/>
        <v>0</v>
      </c>
      <c r="N143" s="485"/>
      <c r="O143" s="476">
        <f t="shared" si="64"/>
        <v>0</v>
      </c>
      <c r="P143" s="476">
        <f t="shared" si="65"/>
        <v>0</v>
      </c>
    </row>
    <row r="144" spans="2:16">
      <c r="B144" s="160" t="str">
        <f t="shared" si="66"/>
        <v/>
      </c>
      <c r="C144" s="470">
        <f>IF(D93="","-",+C143+1)</f>
        <v>2057</v>
      </c>
      <c r="D144" s="345">
        <f>IF(F143+SUM(E$99:E143)=D$92,F143,D$92-SUM(E$99:E143))</f>
        <v>0</v>
      </c>
      <c r="E144" s="484">
        <f t="shared" si="55"/>
        <v>0</v>
      </c>
      <c r="F144" s="483">
        <f t="shared" si="56"/>
        <v>0</v>
      </c>
      <c r="G144" s="483">
        <f t="shared" si="57"/>
        <v>0</v>
      </c>
      <c r="H144" s="486">
        <f t="shared" si="60"/>
        <v>0</v>
      </c>
      <c r="I144" s="540">
        <f t="shared" si="61"/>
        <v>0</v>
      </c>
      <c r="J144" s="476">
        <f t="shared" si="62"/>
        <v>0</v>
      </c>
      <c r="K144" s="476"/>
      <c r="L144" s="485"/>
      <c r="M144" s="476">
        <f t="shared" si="63"/>
        <v>0</v>
      </c>
      <c r="N144" s="485"/>
      <c r="O144" s="476">
        <f t="shared" si="64"/>
        <v>0</v>
      </c>
      <c r="P144" s="476">
        <f t="shared" si="65"/>
        <v>0</v>
      </c>
    </row>
    <row r="145" spans="2:16">
      <c r="B145" s="160" t="str">
        <f t="shared" si="66"/>
        <v/>
      </c>
      <c r="C145" s="470">
        <f>IF(D93="","-",+C144+1)</f>
        <v>2058</v>
      </c>
      <c r="D145" s="345">
        <f>IF(F144+SUM(E$99:E144)=D$92,F144,D$92-SUM(E$99:E144))</f>
        <v>0</v>
      </c>
      <c r="E145" s="484">
        <f t="shared" si="55"/>
        <v>0</v>
      </c>
      <c r="F145" s="483">
        <f t="shared" si="56"/>
        <v>0</v>
      </c>
      <c r="G145" s="483">
        <f t="shared" si="57"/>
        <v>0</v>
      </c>
      <c r="H145" s="486">
        <f t="shared" si="60"/>
        <v>0</v>
      </c>
      <c r="I145" s="540">
        <f t="shared" si="61"/>
        <v>0</v>
      </c>
      <c r="J145" s="476">
        <f t="shared" si="62"/>
        <v>0</v>
      </c>
      <c r="K145" s="476"/>
      <c r="L145" s="485"/>
      <c r="M145" s="476">
        <f t="shared" si="63"/>
        <v>0</v>
      </c>
      <c r="N145" s="485"/>
      <c r="O145" s="476">
        <f t="shared" si="64"/>
        <v>0</v>
      </c>
      <c r="P145" s="476">
        <f t="shared" si="65"/>
        <v>0</v>
      </c>
    </row>
    <row r="146" spans="2:16">
      <c r="B146" s="160" t="str">
        <f t="shared" si="66"/>
        <v/>
      </c>
      <c r="C146" s="470">
        <f>IF(D93="","-",+C145+1)</f>
        <v>2059</v>
      </c>
      <c r="D146" s="345">
        <f>IF(F145+SUM(E$99:E145)=D$92,F145,D$92-SUM(E$99:E145))</f>
        <v>0</v>
      </c>
      <c r="E146" s="484">
        <f t="shared" si="55"/>
        <v>0</v>
      </c>
      <c r="F146" s="483">
        <f t="shared" si="56"/>
        <v>0</v>
      </c>
      <c r="G146" s="483">
        <f t="shared" si="57"/>
        <v>0</v>
      </c>
      <c r="H146" s="486">
        <f t="shared" si="60"/>
        <v>0</v>
      </c>
      <c r="I146" s="540">
        <f t="shared" si="61"/>
        <v>0</v>
      </c>
      <c r="J146" s="476">
        <f t="shared" si="62"/>
        <v>0</v>
      </c>
      <c r="K146" s="476"/>
      <c r="L146" s="485"/>
      <c r="M146" s="476">
        <f t="shared" si="63"/>
        <v>0</v>
      </c>
      <c r="N146" s="485"/>
      <c r="O146" s="476">
        <f t="shared" si="64"/>
        <v>0</v>
      </c>
      <c r="P146" s="476">
        <f t="shared" si="65"/>
        <v>0</v>
      </c>
    </row>
    <row r="147" spans="2:16">
      <c r="B147" s="160" t="str">
        <f t="shared" si="66"/>
        <v/>
      </c>
      <c r="C147" s="470">
        <f>IF(D93="","-",+C146+1)</f>
        <v>2060</v>
      </c>
      <c r="D147" s="345">
        <f>IF(F146+SUM(E$99:E146)=D$92,F146,D$92-SUM(E$99:E146))</f>
        <v>0</v>
      </c>
      <c r="E147" s="484">
        <f t="shared" si="55"/>
        <v>0</v>
      </c>
      <c r="F147" s="483">
        <f t="shared" si="56"/>
        <v>0</v>
      </c>
      <c r="G147" s="483">
        <f t="shared" si="57"/>
        <v>0</v>
      </c>
      <c r="H147" s="486">
        <f t="shared" si="60"/>
        <v>0</v>
      </c>
      <c r="I147" s="540">
        <f t="shared" si="61"/>
        <v>0</v>
      </c>
      <c r="J147" s="476">
        <f t="shared" si="62"/>
        <v>0</v>
      </c>
      <c r="K147" s="476"/>
      <c r="L147" s="485"/>
      <c r="M147" s="476">
        <f t="shared" si="63"/>
        <v>0</v>
      </c>
      <c r="N147" s="485"/>
      <c r="O147" s="476">
        <f t="shared" si="64"/>
        <v>0</v>
      </c>
      <c r="P147" s="476">
        <f t="shared" si="65"/>
        <v>0</v>
      </c>
    </row>
    <row r="148" spans="2:16">
      <c r="B148" s="160" t="str">
        <f t="shared" si="66"/>
        <v/>
      </c>
      <c r="C148" s="470">
        <f>IF(D93="","-",+C147+1)</f>
        <v>2061</v>
      </c>
      <c r="D148" s="345">
        <f>IF(F147+SUM(E$99:E147)=D$92,F147,D$92-SUM(E$99:E147))</f>
        <v>0</v>
      </c>
      <c r="E148" s="484">
        <f t="shared" si="55"/>
        <v>0</v>
      </c>
      <c r="F148" s="483">
        <f t="shared" si="56"/>
        <v>0</v>
      </c>
      <c r="G148" s="483">
        <f t="shared" si="57"/>
        <v>0</v>
      </c>
      <c r="H148" s="486">
        <f t="shared" si="60"/>
        <v>0</v>
      </c>
      <c r="I148" s="540">
        <f t="shared" si="61"/>
        <v>0</v>
      </c>
      <c r="J148" s="476">
        <f t="shared" si="62"/>
        <v>0</v>
      </c>
      <c r="K148" s="476"/>
      <c r="L148" s="485"/>
      <c r="M148" s="476">
        <f t="shared" si="63"/>
        <v>0</v>
      </c>
      <c r="N148" s="485"/>
      <c r="O148" s="476">
        <f t="shared" si="64"/>
        <v>0</v>
      </c>
      <c r="P148" s="476">
        <f t="shared" si="65"/>
        <v>0</v>
      </c>
    </row>
    <row r="149" spans="2:16">
      <c r="B149" s="160" t="str">
        <f t="shared" si="66"/>
        <v/>
      </c>
      <c r="C149" s="470">
        <f>IF(D93="","-",+C148+1)</f>
        <v>2062</v>
      </c>
      <c r="D149" s="345">
        <f>IF(F148+SUM(E$99:E148)=D$92,F148,D$92-SUM(E$99:E148))</f>
        <v>0</v>
      </c>
      <c r="E149" s="484">
        <f t="shared" si="55"/>
        <v>0</v>
      </c>
      <c r="F149" s="483">
        <f t="shared" si="56"/>
        <v>0</v>
      </c>
      <c r="G149" s="483">
        <f t="shared" si="57"/>
        <v>0</v>
      </c>
      <c r="H149" s="486">
        <f t="shared" si="60"/>
        <v>0</v>
      </c>
      <c r="I149" s="540">
        <f t="shared" si="61"/>
        <v>0</v>
      </c>
      <c r="J149" s="476">
        <f t="shared" si="62"/>
        <v>0</v>
      </c>
      <c r="K149" s="476"/>
      <c r="L149" s="485"/>
      <c r="M149" s="476">
        <f t="shared" si="63"/>
        <v>0</v>
      </c>
      <c r="N149" s="485"/>
      <c r="O149" s="476">
        <f t="shared" si="64"/>
        <v>0</v>
      </c>
      <c r="P149" s="476">
        <f t="shared" si="65"/>
        <v>0</v>
      </c>
    </row>
    <row r="150" spans="2:16">
      <c r="B150" s="160" t="str">
        <f t="shared" si="66"/>
        <v/>
      </c>
      <c r="C150" s="470">
        <f>IF(D93="","-",+C149+1)</f>
        <v>2063</v>
      </c>
      <c r="D150" s="345">
        <f>IF(F149+SUM(E$99:E149)=D$92,F149,D$92-SUM(E$99:E149))</f>
        <v>0</v>
      </c>
      <c r="E150" s="484">
        <f t="shared" si="55"/>
        <v>0</v>
      </c>
      <c r="F150" s="483">
        <f t="shared" si="56"/>
        <v>0</v>
      </c>
      <c r="G150" s="483">
        <f t="shared" si="57"/>
        <v>0</v>
      </c>
      <c r="H150" s="486">
        <f t="shared" si="60"/>
        <v>0</v>
      </c>
      <c r="I150" s="540">
        <f t="shared" si="61"/>
        <v>0</v>
      </c>
      <c r="J150" s="476">
        <f t="shared" si="62"/>
        <v>0</v>
      </c>
      <c r="K150" s="476"/>
      <c r="L150" s="485"/>
      <c r="M150" s="476">
        <f t="shared" si="63"/>
        <v>0</v>
      </c>
      <c r="N150" s="485"/>
      <c r="O150" s="476">
        <f t="shared" si="64"/>
        <v>0</v>
      </c>
      <c r="P150" s="476">
        <f t="shared" si="65"/>
        <v>0</v>
      </c>
    </row>
    <row r="151" spans="2:16">
      <c r="B151" s="160" t="str">
        <f t="shared" si="66"/>
        <v/>
      </c>
      <c r="C151" s="470">
        <f>IF(D93="","-",+C150+1)</f>
        <v>2064</v>
      </c>
      <c r="D151" s="345">
        <f>IF(F150+SUM(E$99:E150)=D$92,F150,D$92-SUM(E$99:E150))</f>
        <v>0</v>
      </c>
      <c r="E151" s="484">
        <f t="shared" si="55"/>
        <v>0</v>
      </c>
      <c r="F151" s="483">
        <f t="shared" si="56"/>
        <v>0</v>
      </c>
      <c r="G151" s="483">
        <f t="shared" si="57"/>
        <v>0</v>
      </c>
      <c r="H151" s="486">
        <f t="shared" si="60"/>
        <v>0</v>
      </c>
      <c r="I151" s="540">
        <f t="shared" si="61"/>
        <v>0</v>
      </c>
      <c r="J151" s="476">
        <f t="shared" si="62"/>
        <v>0</v>
      </c>
      <c r="K151" s="476"/>
      <c r="L151" s="485"/>
      <c r="M151" s="476">
        <f t="shared" si="63"/>
        <v>0</v>
      </c>
      <c r="N151" s="485"/>
      <c r="O151" s="476">
        <f t="shared" si="64"/>
        <v>0</v>
      </c>
      <c r="P151" s="476">
        <f t="shared" si="65"/>
        <v>0</v>
      </c>
    </row>
    <row r="152" spans="2:16">
      <c r="B152" s="160" t="str">
        <f t="shared" si="66"/>
        <v/>
      </c>
      <c r="C152" s="470">
        <f>IF(D93="","-",+C151+1)</f>
        <v>2065</v>
      </c>
      <c r="D152" s="345">
        <f>IF(F151+SUM(E$99:E151)=D$92,F151,D$92-SUM(E$99:E151))</f>
        <v>0</v>
      </c>
      <c r="E152" s="484">
        <f t="shared" si="55"/>
        <v>0</v>
      </c>
      <c r="F152" s="483">
        <f t="shared" si="56"/>
        <v>0</v>
      </c>
      <c r="G152" s="483">
        <f t="shared" si="57"/>
        <v>0</v>
      </c>
      <c r="H152" s="486">
        <f t="shared" si="60"/>
        <v>0</v>
      </c>
      <c r="I152" s="540">
        <f t="shared" si="61"/>
        <v>0</v>
      </c>
      <c r="J152" s="476">
        <f t="shared" si="62"/>
        <v>0</v>
      </c>
      <c r="K152" s="476"/>
      <c r="L152" s="485"/>
      <c r="M152" s="476">
        <f t="shared" si="63"/>
        <v>0</v>
      </c>
      <c r="N152" s="485"/>
      <c r="O152" s="476">
        <f t="shared" si="64"/>
        <v>0</v>
      </c>
      <c r="P152" s="476">
        <f t="shared" si="65"/>
        <v>0</v>
      </c>
    </row>
    <row r="153" spans="2:16">
      <c r="B153" s="160" t="str">
        <f t="shared" si="66"/>
        <v/>
      </c>
      <c r="C153" s="470">
        <f>IF(D93="","-",+C152+1)</f>
        <v>2066</v>
      </c>
      <c r="D153" s="345">
        <f>IF(F152+SUM(E$99:E152)=D$92,F152,D$92-SUM(E$99:E152))</f>
        <v>0</v>
      </c>
      <c r="E153" s="484">
        <f t="shared" si="55"/>
        <v>0</v>
      </c>
      <c r="F153" s="483">
        <f t="shared" si="56"/>
        <v>0</v>
      </c>
      <c r="G153" s="483">
        <f t="shared" si="57"/>
        <v>0</v>
      </c>
      <c r="H153" s="486">
        <f t="shared" si="60"/>
        <v>0</v>
      </c>
      <c r="I153" s="540">
        <f t="shared" si="61"/>
        <v>0</v>
      </c>
      <c r="J153" s="476">
        <f t="shared" si="62"/>
        <v>0</v>
      </c>
      <c r="K153" s="476"/>
      <c r="L153" s="485"/>
      <c r="M153" s="476">
        <f t="shared" si="63"/>
        <v>0</v>
      </c>
      <c r="N153" s="485"/>
      <c r="O153" s="476">
        <f t="shared" si="64"/>
        <v>0</v>
      </c>
      <c r="P153" s="476">
        <f t="shared" si="65"/>
        <v>0</v>
      </c>
    </row>
    <row r="154" spans="2:16" ht="13.5" thickBot="1">
      <c r="B154" s="160" t="str">
        <f t="shared" si="66"/>
        <v/>
      </c>
      <c r="C154" s="487">
        <f>IF(D93="","-",+C153+1)</f>
        <v>2067</v>
      </c>
      <c r="D154" s="541">
        <f>IF(F153+SUM(E$99:E153)=D$92,F153,D$92-SUM(E$99:E153))</f>
        <v>0</v>
      </c>
      <c r="E154" s="542">
        <f t="shared" si="55"/>
        <v>0</v>
      </c>
      <c r="F154" s="488">
        <f t="shared" si="56"/>
        <v>0</v>
      </c>
      <c r="G154" s="488">
        <f t="shared" si="57"/>
        <v>0</v>
      </c>
      <c r="H154" s="490">
        <f t="shared" si="60"/>
        <v>0</v>
      </c>
      <c r="I154" s="543">
        <f t="shared" si="61"/>
        <v>0</v>
      </c>
      <c r="J154" s="493">
        <f t="shared" si="62"/>
        <v>0</v>
      </c>
      <c r="K154" s="476"/>
      <c r="L154" s="492"/>
      <c r="M154" s="493">
        <f t="shared" si="63"/>
        <v>0</v>
      </c>
      <c r="N154" s="492"/>
      <c r="O154" s="493">
        <f t="shared" si="64"/>
        <v>0</v>
      </c>
      <c r="P154" s="493">
        <f t="shared" si="65"/>
        <v>0</v>
      </c>
    </row>
    <row r="155" spans="2:16">
      <c r="C155" s="345" t="s">
        <v>77</v>
      </c>
      <c r="D155" s="346"/>
      <c r="E155" s="346">
        <f>SUM(E99:E154)</f>
        <v>3305767</v>
      </c>
      <c r="F155" s="346"/>
      <c r="G155" s="346"/>
      <c r="H155" s="346">
        <f>SUM(H99:H154)</f>
        <v>11638543.989552092</v>
      </c>
      <c r="I155" s="346">
        <f>SUM(I99:I154)</f>
        <v>11638543.989552092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8:C72">
    <cfRule type="cellIs" dxfId="48" priority="2" stopIfTrue="1" operator="equal">
      <formula>$I$10</formula>
    </cfRule>
  </conditionalFormatting>
  <conditionalFormatting sqref="C99:C154">
    <cfRule type="cellIs" dxfId="47" priority="3" stopIfTrue="1" operator="equal">
      <formula>$J$92</formula>
    </cfRule>
  </conditionalFormatting>
  <conditionalFormatting sqref="C17">
    <cfRule type="cellIs" dxfId="46" priority="1" stopIfTrue="1" operator="equal">
      <formula>$I$10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63">
    <tabColor rgb="FFC00000"/>
  </sheetPr>
  <dimension ref="A1:P162"/>
  <sheetViews>
    <sheetView topLeftCell="A90" zoomScaleNormal="100" zoomScaleSheetLayoutView="75" workbookViewId="0">
      <selection activeCell="V52" sqref="V5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13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2395.5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2395.5</v>
      </c>
      <c r="O6" s="231"/>
      <c r="P6" s="231"/>
    </row>
    <row r="7" spans="1:16" ht="13.5" thickBot="1">
      <c r="C7" s="429" t="s">
        <v>46</v>
      </c>
      <c r="D7" s="430" t="s">
        <v>259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>DOES NOT MEET SPP $100,000 MINIMUM INVESTMENT FOR REGIONAL BPU SHARING.</v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570" t="s">
        <v>239</v>
      </c>
      <c r="E9" s="575" t="s">
        <v>293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22097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2010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6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581.5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7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D11</f>
        <v>2010</v>
      </c>
      <c r="D17" s="471">
        <v>0</v>
      </c>
      <c r="E17" s="477">
        <v>0</v>
      </c>
      <c r="F17" s="477">
        <v>0</v>
      </c>
      <c r="G17" s="477">
        <v>0</v>
      </c>
      <c r="H17" s="586">
        <v>0</v>
      </c>
      <c r="I17" s="473">
        <f t="shared" ref="I17:I48" si="0">H17-G17</f>
        <v>0</v>
      </c>
      <c r="J17" s="347"/>
      <c r="K17" s="474">
        <f t="shared" ref="K17:K22" si="1">G17</f>
        <v>0</v>
      </c>
      <c r="L17" s="587">
        <f t="shared" ref="L17:L48" si="2">IF(K17&lt;&gt;0,+G17-K17,0)</f>
        <v>0</v>
      </c>
      <c r="M17" s="474">
        <f t="shared" ref="M17:M22" si="3">H17</f>
        <v>0</v>
      </c>
      <c r="N17" s="557">
        <f t="shared" ref="N17:N48" si="4">IF(M17&lt;&gt;0,+H17-M17,0)</f>
        <v>0</v>
      </c>
      <c r="O17" s="476">
        <f t="shared" ref="O17:O48" si="5">+N17-L17</f>
        <v>0</v>
      </c>
      <c r="P17" s="241"/>
    </row>
    <row r="18" spans="2:16">
      <c r="B18" s="160" t="str">
        <f t="shared" ref="B18:B49" si="6">IF(D18=F17,"","IU")</f>
        <v/>
      </c>
      <c r="C18" s="470">
        <f>IF($D$11="","-",+C17+1)</f>
        <v>2011</v>
      </c>
      <c r="D18" s="471">
        <v>0</v>
      </c>
      <c r="E18" s="477">
        <v>0</v>
      </c>
      <c r="F18" s="477">
        <v>0</v>
      </c>
      <c r="G18" s="477">
        <v>0</v>
      </c>
      <c r="H18" s="586">
        <v>0</v>
      </c>
      <c r="I18" s="473">
        <f t="shared" si="0"/>
        <v>0</v>
      </c>
      <c r="J18" s="347"/>
      <c r="K18" s="474">
        <f t="shared" si="1"/>
        <v>0</v>
      </c>
      <c r="L18" s="347">
        <f t="shared" si="2"/>
        <v>0</v>
      </c>
      <c r="M18" s="474">
        <f t="shared" si="3"/>
        <v>0</v>
      </c>
      <c r="N18" s="473">
        <f t="shared" si="4"/>
        <v>0</v>
      </c>
      <c r="O18" s="476">
        <f t="shared" si="5"/>
        <v>0</v>
      </c>
      <c r="P18" s="241"/>
    </row>
    <row r="19" spans="2:16">
      <c r="B19" s="160" t="str">
        <f t="shared" si="6"/>
        <v>IU</v>
      </c>
      <c r="C19" s="470">
        <f>IF(D11="","-",+C18+1)</f>
        <v>2012</v>
      </c>
      <c r="D19" s="471">
        <v>22097</v>
      </c>
      <c r="E19" s="478">
        <v>212.47115384615381</v>
      </c>
      <c r="F19" s="471">
        <v>21884.528846153848</v>
      </c>
      <c r="G19" s="478">
        <v>3258.944937760969</v>
      </c>
      <c r="H19" s="479">
        <v>3258.944937760969</v>
      </c>
      <c r="I19" s="473">
        <f>H19-G19</f>
        <v>0</v>
      </c>
      <c r="J19" s="347"/>
      <c r="K19" s="474">
        <f t="shared" si="1"/>
        <v>3258.944937760969</v>
      </c>
      <c r="L19" s="347">
        <f t="shared" si="2"/>
        <v>0</v>
      </c>
      <c r="M19" s="474">
        <f t="shared" si="3"/>
        <v>3258.944937760969</v>
      </c>
      <c r="N19" s="473">
        <f t="shared" si="4"/>
        <v>0</v>
      </c>
      <c r="O19" s="476">
        <f t="shared" si="5"/>
        <v>0</v>
      </c>
      <c r="P19" s="241"/>
    </row>
    <row r="20" spans="2:16">
      <c r="B20" s="160" t="str">
        <f t="shared" si="6"/>
        <v/>
      </c>
      <c r="C20" s="470">
        <f>IF(D11="","-",+C19+1)</f>
        <v>2013</v>
      </c>
      <c r="D20" s="471">
        <v>21884.528846153848</v>
      </c>
      <c r="E20" s="478">
        <v>424.94230769230768</v>
      </c>
      <c r="F20" s="471">
        <v>21459.586538461539</v>
      </c>
      <c r="G20" s="478">
        <v>3489.9423076923076</v>
      </c>
      <c r="H20" s="479">
        <v>3489.9423076923076</v>
      </c>
      <c r="I20" s="473">
        <v>0</v>
      </c>
      <c r="J20" s="473"/>
      <c r="K20" s="474">
        <f t="shared" si="1"/>
        <v>3489.9423076923076</v>
      </c>
      <c r="L20" s="347">
        <f t="shared" ref="L20:L25" si="7">IF(K20&lt;&gt;0,+G20-K20,0)</f>
        <v>0</v>
      </c>
      <c r="M20" s="474">
        <f t="shared" si="3"/>
        <v>3489.9423076923076</v>
      </c>
      <c r="N20" s="473">
        <f t="shared" ref="N20:N25" si="8">IF(M20&lt;&gt;0,+H20-M20,0)</f>
        <v>0</v>
      </c>
      <c r="O20" s="476">
        <f t="shared" ref="O20:O25" si="9">+N20-L20</f>
        <v>0</v>
      </c>
      <c r="P20" s="241"/>
    </row>
    <row r="21" spans="2:16">
      <c r="B21" s="160" t="str">
        <f t="shared" si="6"/>
        <v/>
      </c>
      <c r="C21" s="470">
        <f>IF(D11="","-",+C20+1)</f>
        <v>2014</v>
      </c>
      <c r="D21" s="471">
        <v>21459.586538461539</v>
      </c>
      <c r="E21" s="478">
        <v>424.94230769230768</v>
      </c>
      <c r="F21" s="471">
        <v>21034.64423076923</v>
      </c>
      <c r="G21" s="478">
        <v>3320.9423076923076</v>
      </c>
      <c r="H21" s="479">
        <v>3320.9423076923076</v>
      </c>
      <c r="I21" s="473">
        <v>0</v>
      </c>
      <c r="J21" s="473"/>
      <c r="K21" s="474">
        <f t="shared" si="1"/>
        <v>3320.9423076923076</v>
      </c>
      <c r="L21" s="347">
        <f t="shared" si="7"/>
        <v>0</v>
      </c>
      <c r="M21" s="474">
        <f t="shared" si="3"/>
        <v>3320.9423076923076</v>
      </c>
      <c r="N21" s="473">
        <f t="shared" si="8"/>
        <v>0</v>
      </c>
      <c r="O21" s="476">
        <f t="shared" si="9"/>
        <v>0</v>
      </c>
      <c r="P21" s="241"/>
    </row>
    <row r="22" spans="2:16">
      <c r="B22" s="160" t="str">
        <f t="shared" si="6"/>
        <v/>
      </c>
      <c r="C22" s="470">
        <f>IF(D11="","-",+C21+1)</f>
        <v>2015</v>
      </c>
      <c r="D22" s="471">
        <v>21034.64423076923</v>
      </c>
      <c r="E22" s="478">
        <v>424.94230769230768</v>
      </c>
      <c r="F22" s="471">
        <v>20609.701923076922</v>
      </c>
      <c r="G22" s="478">
        <v>3265.9423076923076</v>
      </c>
      <c r="H22" s="479">
        <v>3265.9423076923076</v>
      </c>
      <c r="I22" s="473">
        <v>0</v>
      </c>
      <c r="J22" s="473"/>
      <c r="K22" s="474">
        <f t="shared" si="1"/>
        <v>3265.9423076923076</v>
      </c>
      <c r="L22" s="347">
        <f t="shared" si="7"/>
        <v>0</v>
      </c>
      <c r="M22" s="474">
        <f t="shared" si="3"/>
        <v>3265.9423076923076</v>
      </c>
      <c r="N22" s="473">
        <f t="shared" si="8"/>
        <v>0</v>
      </c>
      <c r="O22" s="476">
        <f t="shared" si="9"/>
        <v>0</v>
      </c>
      <c r="P22" s="241"/>
    </row>
    <row r="23" spans="2:16">
      <c r="B23" s="160" t="str">
        <f t="shared" si="6"/>
        <v/>
      </c>
      <c r="C23" s="470">
        <f>IF(D11="","-",+C22+1)</f>
        <v>2016</v>
      </c>
      <c r="D23" s="471">
        <v>20609.701923076922</v>
      </c>
      <c r="E23" s="478">
        <v>424.94230769230768</v>
      </c>
      <c r="F23" s="471">
        <v>20184.759615384613</v>
      </c>
      <c r="G23" s="478">
        <v>3071.9423076923076</v>
      </c>
      <c r="H23" s="479">
        <v>3071.9423076923076</v>
      </c>
      <c r="I23" s="473">
        <f t="shared" si="0"/>
        <v>0</v>
      </c>
      <c r="J23" s="473"/>
      <c r="K23" s="474">
        <f t="shared" ref="K23:K28" si="10">G23</f>
        <v>3071.9423076923076</v>
      </c>
      <c r="L23" s="347">
        <f t="shared" si="7"/>
        <v>0</v>
      </c>
      <c r="M23" s="474">
        <f t="shared" ref="M23:M28" si="11">H23</f>
        <v>3071.9423076923076</v>
      </c>
      <c r="N23" s="473">
        <f t="shared" si="8"/>
        <v>0</v>
      </c>
      <c r="O23" s="476">
        <f t="shared" si="9"/>
        <v>0</v>
      </c>
      <c r="P23" s="241"/>
    </row>
    <row r="24" spans="2:16">
      <c r="B24" s="160" t="str">
        <f t="shared" si="6"/>
        <v/>
      </c>
      <c r="C24" s="470">
        <f>IF(D11="","-",+C23+1)</f>
        <v>2017</v>
      </c>
      <c r="D24" s="471">
        <v>20184.759615384613</v>
      </c>
      <c r="E24" s="478">
        <v>480.36956521739131</v>
      </c>
      <c r="F24" s="471">
        <v>19704.390050167221</v>
      </c>
      <c r="G24" s="478">
        <v>2988.3695652173915</v>
      </c>
      <c r="H24" s="479">
        <v>2988.3695652173915</v>
      </c>
      <c r="I24" s="473">
        <f t="shared" si="0"/>
        <v>0</v>
      </c>
      <c r="J24" s="473"/>
      <c r="K24" s="474">
        <f t="shared" si="10"/>
        <v>2988.3695652173915</v>
      </c>
      <c r="L24" s="347">
        <f t="shared" si="7"/>
        <v>0</v>
      </c>
      <c r="M24" s="474">
        <f t="shared" si="11"/>
        <v>2988.3695652173915</v>
      </c>
      <c r="N24" s="473">
        <f t="shared" si="8"/>
        <v>0</v>
      </c>
      <c r="O24" s="476">
        <f t="shared" si="9"/>
        <v>0</v>
      </c>
      <c r="P24" s="241"/>
    </row>
    <row r="25" spans="2:16">
      <c r="B25" s="160" t="str">
        <f t="shared" si="6"/>
        <v/>
      </c>
      <c r="C25" s="470">
        <f>IF(D11="","-",+C24+1)</f>
        <v>2018</v>
      </c>
      <c r="D25" s="471">
        <v>19704.390050167221</v>
      </c>
      <c r="E25" s="478">
        <v>491.04444444444442</v>
      </c>
      <c r="F25" s="471">
        <v>19213.345605722778</v>
      </c>
      <c r="G25" s="478">
        <v>2821.4178428916557</v>
      </c>
      <c r="H25" s="479">
        <v>2821.4178428916557</v>
      </c>
      <c r="I25" s="473">
        <f t="shared" si="0"/>
        <v>0</v>
      </c>
      <c r="J25" s="473"/>
      <c r="K25" s="474">
        <f t="shared" si="10"/>
        <v>2821.4178428916557</v>
      </c>
      <c r="L25" s="347">
        <f t="shared" si="7"/>
        <v>0</v>
      </c>
      <c r="M25" s="474">
        <f t="shared" si="11"/>
        <v>2821.4178428916557</v>
      </c>
      <c r="N25" s="473">
        <f t="shared" si="8"/>
        <v>0</v>
      </c>
      <c r="O25" s="476">
        <f t="shared" si="9"/>
        <v>0</v>
      </c>
      <c r="P25" s="241"/>
    </row>
    <row r="26" spans="2:16">
      <c r="B26" s="160" t="str">
        <f t="shared" si="6"/>
        <v/>
      </c>
      <c r="C26" s="470">
        <f>IF(D11="","-",+C25+1)</f>
        <v>2019</v>
      </c>
      <c r="D26" s="471">
        <v>19213.345605722778</v>
      </c>
      <c r="E26" s="478">
        <v>552.42499999999995</v>
      </c>
      <c r="F26" s="471">
        <v>18660.920605722778</v>
      </c>
      <c r="G26" s="478">
        <v>2666.8814890183439</v>
      </c>
      <c r="H26" s="479">
        <v>2666.8814890183439</v>
      </c>
      <c r="I26" s="473">
        <f t="shared" si="0"/>
        <v>0</v>
      </c>
      <c r="J26" s="473"/>
      <c r="K26" s="474">
        <f t="shared" si="10"/>
        <v>2666.8814890183439</v>
      </c>
      <c r="L26" s="347">
        <f t="shared" ref="L26" si="12">IF(K26&lt;&gt;0,+G26-K26,0)</f>
        <v>0</v>
      </c>
      <c r="M26" s="474">
        <f t="shared" si="11"/>
        <v>2666.8814890183439</v>
      </c>
      <c r="N26" s="473">
        <f t="shared" ref="N26" si="13">IF(M26&lt;&gt;0,+H26-M26,0)</f>
        <v>0</v>
      </c>
      <c r="O26" s="476">
        <f t="shared" si="5"/>
        <v>0</v>
      </c>
      <c r="P26" s="241"/>
    </row>
    <row r="27" spans="2:16">
      <c r="B27" s="160" t="str">
        <f t="shared" si="6"/>
        <v>IU</v>
      </c>
      <c r="C27" s="470">
        <f>IF(D11="","-",+C26+1)</f>
        <v>2020</v>
      </c>
      <c r="D27" s="471">
        <v>18722.301161278334</v>
      </c>
      <c r="E27" s="478">
        <v>526.11904761904759</v>
      </c>
      <c r="F27" s="471">
        <v>18196.182113659288</v>
      </c>
      <c r="G27" s="478">
        <v>2519.8053226007855</v>
      </c>
      <c r="H27" s="479">
        <v>2519.8053226007855</v>
      </c>
      <c r="I27" s="473">
        <f t="shared" si="0"/>
        <v>0</v>
      </c>
      <c r="J27" s="473"/>
      <c r="K27" s="474">
        <f t="shared" si="10"/>
        <v>2519.8053226007855</v>
      </c>
      <c r="L27" s="347">
        <f t="shared" ref="L27" si="14">IF(K27&lt;&gt;0,+G27-K27,0)</f>
        <v>0</v>
      </c>
      <c r="M27" s="474">
        <f t="shared" si="11"/>
        <v>2519.8053226007855</v>
      </c>
      <c r="N27" s="476">
        <f t="shared" si="4"/>
        <v>0</v>
      </c>
      <c r="O27" s="476">
        <f t="shared" si="5"/>
        <v>0</v>
      </c>
      <c r="P27" s="241"/>
    </row>
    <row r="28" spans="2:16">
      <c r="B28" s="160" t="str">
        <f t="shared" si="6"/>
        <v>IU</v>
      </c>
      <c r="C28" s="470">
        <f>IF(D11="","-",+C27+1)</f>
        <v>2021</v>
      </c>
      <c r="D28" s="471">
        <v>18134.801558103733</v>
      </c>
      <c r="E28" s="478">
        <v>513.88372093023258</v>
      </c>
      <c r="F28" s="471">
        <v>17620.9178371735</v>
      </c>
      <c r="G28" s="478">
        <v>2413.8837209302328</v>
      </c>
      <c r="H28" s="479">
        <v>2413.8837209302328</v>
      </c>
      <c r="I28" s="473">
        <f t="shared" si="0"/>
        <v>0</v>
      </c>
      <c r="J28" s="473"/>
      <c r="K28" s="474">
        <f t="shared" si="10"/>
        <v>2413.8837209302328</v>
      </c>
      <c r="L28" s="347">
        <f t="shared" ref="L28" si="15">IF(K28&lt;&gt;0,+G28-K28,0)</f>
        <v>0</v>
      </c>
      <c r="M28" s="474">
        <f t="shared" si="11"/>
        <v>2413.8837209302328</v>
      </c>
      <c r="N28" s="476">
        <f t="shared" si="4"/>
        <v>0</v>
      </c>
      <c r="O28" s="476">
        <f t="shared" si="5"/>
        <v>0</v>
      </c>
      <c r="P28" s="241"/>
    </row>
    <row r="29" spans="2:16">
      <c r="B29" s="160" t="str">
        <f t="shared" si="6"/>
        <v/>
      </c>
      <c r="C29" s="470">
        <f>IF(D11="","-",+C28+1)</f>
        <v>2022</v>
      </c>
      <c r="D29" s="471">
        <v>17620.9178371735</v>
      </c>
      <c r="E29" s="478">
        <v>526.11904761904759</v>
      </c>
      <c r="F29" s="471">
        <v>17094.798789554454</v>
      </c>
      <c r="G29" s="478">
        <v>2369.1190476190477</v>
      </c>
      <c r="H29" s="479">
        <v>2369.1190476190477</v>
      </c>
      <c r="I29" s="473">
        <f t="shared" si="0"/>
        <v>0</v>
      </c>
      <c r="J29" s="473"/>
      <c r="K29" s="474">
        <f t="shared" ref="K29" si="16">G29</f>
        <v>2369.1190476190477</v>
      </c>
      <c r="L29" s="347">
        <f t="shared" ref="L29" si="17">IF(K29&lt;&gt;0,+G29-K29,0)</f>
        <v>0</v>
      </c>
      <c r="M29" s="474">
        <f t="shared" ref="M29" si="18">H29</f>
        <v>2369.1190476190477</v>
      </c>
      <c r="N29" s="476">
        <f t="shared" si="4"/>
        <v>0</v>
      </c>
      <c r="O29" s="476">
        <f t="shared" si="5"/>
        <v>0</v>
      </c>
      <c r="P29" s="241"/>
    </row>
    <row r="30" spans="2:16">
      <c r="B30" s="160" t="str">
        <f t="shared" si="6"/>
        <v/>
      </c>
      <c r="C30" s="470">
        <f>IF(D11="","-",+C29+1)</f>
        <v>2023</v>
      </c>
      <c r="D30" s="471">
        <v>17094.798789554454</v>
      </c>
      <c r="E30" s="478">
        <v>566.58974358974353</v>
      </c>
      <c r="F30" s="471">
        <v>16528.209045964712</v>
      </c>
      <c r="G30" s="478">
        <v>2539.5897435897436</v>
      </c>
      <c r="H30" s="479">
        <v>2539.5897435897436</v>
      </c>
      <c r="I30" s="473">
        <f t="shared" si="0"/>
        <v>0</v>
      </c>
      <c r="J30" s="473"/>
      <c r="K30" s="474">
        <f t="shared" ref="K30" si="19">G30</f>
        <v>2539.5897435897436</v>
      </c>
      <c r="L30" s="347">
        <f t="shared" ref="L30" si="20">IF(K30&lt;&gt;0,+G30-K30,0)</f>
        <v>0</v>
      </c>
      <c r="M30" s="474">
        <f t="shared" ref="M30" si="21">H30</f>
        <v>2539.5897435897436</v>
      </c>
      <c r="N30" s="476">
        <f t="shared" ref="N30" si="22">IF(M30&lt;&gt;0,+H30-M30,0)</f>
        <v>0</v>
      </c>
      <c r="O30" s="476">
        <f t="shared" ref="O30" si="23">+N30-L30</f>
        <v>0</v>
      </c>
      <c r="P30" s="241"/>
    </row>
    <row r="31" spans="2:16">
      <c r="B31" s="160" t="str">
        <f t="shared" si="6"/>
        <v/>
      </c>
      <c r="C31" s="631">
        <f>IF(D11="","-",+C30+1)</f>
        <v>2024</v>
      </c>
      <c r="D31" s="483">
        <f>IF(F30+SUM(E$17:E30)=D$10,F30,D$10-SUM(E$17:E30))</f>
        <v>16528.209045964712</v>
      </c>
      <c r="E31" s="482">
        <f>IF(+I14&lt;F30,I14,D31)</f>
        <v>581.5</v>
      </c>
      <c r="F31" s="483">
        <f t="shared" ref="F31:F48" si="24">+D31-E31</f>
        <v>15946.709045964712</v>
      </c>
      <c r="G31" s="484">
        <f t="shared" ref="G31:G49" si="25">ROUND(I$12*F31,0)+E31</f>
        <v>2395.5</v>
      </c>
      <c r="H31" s="453">
        <f t="shared" ref="H31:H49" si="26">ROUND(I$13*F31,0)+E31</f>
        <v>2395.5</v>
      </c>
      <c r="I31" s="473">
        <f t="shared" si="0"/>
        <v>0</v>
      </c>
      <c r="J31" s="473"/>
      <c r="K31" s="485"/>
      <c r="L31" s="476">
        <f t="shared" si="2"/>
        <v>0</v>
      </c>
      <c r="M31" s="485"/>
      <c r="N31" s="476">
        <f t="shared" si="4"/>
        <v>0</v>
      </c>
      <c r="O31" s="476">
        <f t="shared" si="5"/>
        <v>0</v>
      </c>
      <c r="P31" s="241"/>
    </row>
    <row r="32" spans="2:16">
      <c r="B32" s="160" t="str">
        <f t="shared" si="6"/>
        <v/>
      </c>
      <c r="C32" s="470">
        <f>IF(D11="","-",+C31+1)</f>
        <v>2025</v>
      </c>
      <c r="D32" s="483">
        <f>IF(F31+SUM(E$17:E31)=D$10,F31,D$10-SUM(E$17:E31))</f>
        <v>15946.709045964712</v>
      </c>
      <c r="E32" s="482">
        <f>IF(+I14&lt;F31,I14,D32)</f>
        <v>581.5</v>
      </c>
      <c r="F32" s="483">
        <f t="shared" si="24"/>
        <v>15365.209045964712</v>
      </c>
      <c r="G32" s="484">
        <f t="shared" si="25"/>
        <v>2329.5</v>
      </c>
      <c r="H32" s="453">
        <f t="shared" si="26"/>
        <v>2329.5</v>
      </c>
      <c r="I32" s="473">
        <f t="shared" si="0"/>
        <v>0</v>
      </c>
      <c r="J32" s="473"/>
      <c r="K32" s="485"/>
      <c r="L32" s="476">
        <f t="shared" si="2"/>
        <v>0</v>
      </c>
      <c r="M32" s="485"/>
      <c r="N32" s="476">
        <f t="shared" si="4"/>
        <v>0</v>
      </c>
      <c r="O32" s="476">
        <f t="shared" si="5"/>
        <v>0</v>
      </c>
      <c r="P32" s="241"/>
    </row>
    <row r="33" spans="2:16">
      <c r="B33" s="160" t="str">
        <f t="shared" si="6"/>
        <v/>
      </c>
      <c r="C33" s="470">
        <f>IF(D11="","-",+C32+1)</f>
        <v>2026</v>
      </c>
      <c r="D33" s="483">
        <f>IF(F32+SUM(E$17:E32)=D$10,F32,D$10-SUM(E$17:E32))</f>
        <v>15365.209045964712</v>
      </c>
      <c r="E33" s="482">
        <f>IF(+I14&lt;F32,I14,D33)</f>
        <v>581.5</v>
      </c>
      <c r="F33" s="483">
        <f t="shared" si="24"/>
        <v>14783.709045964712</v>
      </c>
      <c r="G33" s="484">
        <f t="shared" si="25"/>
        <v>2263.5</v>
      </c>
      <c r="H33" s="453">
        <f t="shared" si="26"/>
        <v>2263.5</v>
      </c>
      <c r="I33" s="473">
        <f t="shared" si="0"/>
        <v>0</v>
      </c>
      <c r="J33" s="473"/>
      <c r="K33" s="485"/>
      <c r="L33" s="476">
        <f t="shared" si="2"/>
        <v>0</v>
      </c>
      <c r="M33" s="485"/>
      <c r="N33" s="476">
        <f t="shared" si="4"/>
        <v>0</v>
      </c>
      <c r="O33" s="476">
        <f t="shared" si="5"/>
        <v>0</v>
      </c>
      <c r="P33" s="241"/>
    </row>
    <row r="34" spans="2:16">
      <c r="B34" s="160" t="str">
        <f t="shared" si="6"/>
        <v/>
      </c>
      <c r="C34" s="470">
        <f>IF(D11="","-",+C33+1)</f>
        <v>2027</v>
      </c>
      <c r="D34" s="483">
        <f>IF(F33+SUM(E$17:E33)=D$10,F33,D$10-SUM(E$17:E33))</f>
        <v>14783.709045964712</v>
      </c>
      <c r="E34" s="482">
        <f>IF(+I14&lt;F33,I14,D34)</f>
        <v>581.5</v>
      </c>
      <c r="F34" s="483">
        <f t="shared" si="24"/>
        <v>14202.209045964712</v>
      </c>
      <c r="G34" s="484">
        <f t="shared" si="25"/>
        <v>2196.5</v>
      </c>
      <c r="H34" s="453">
        <f t="shared" si="26"/>
        <v>2196.5</v>
      </c>
      <c r="I34" s="473">
        <f t="shared" si="0"/>
        <v>0</v>
      </c>
      <c r="J34" s="473"/>
      <c r="K34" s="485"/>
      <c r="L34" s="476">
        <f t="shared" si="2"/>
        <v>0</v>
      </c>
      <c r="M34" s="485"/>
      <c r="N34" s="476">
        <f t="shared" si="4"/>
        <v>0</v>
      </c>
      <c r="O34" s="476">
        <f t="shared" si="5"/>
        <v>0</v>
      </c>
      <c r="P34" s="241"/>
    </row>
    <row r="35" spans="2:16">
      <c r="B35" s="160" t="str">
        <f t="shared" si="6"/>
        <v/>
      </c>
      <c r="C35" s="470">
        <f>IF(D11="","-",+C34+1)</f>
        <v>2028</v>
      </c>
      <c r="D35" s="483">
        <f>IF(F34+SUM(E$17:E34)=D$10,F34,D$10-SUM(E$17:E34))</f>
        <v>14202.209045964712</v>
      </c>
      <c r="E35" s="482">
        <f>IF(+I14&lt;F34,I14,D35)</f>
        <v>581.5</v>
      </c>
      <c r="F35" s="483">
        <f t="shared" si="24"/>
        <v>13620.709045964712</v>
      </c>
      <c r="G35" s="484">
        <f t="shared" si="25"/>
        <v>2130.5</v>
      </c>
      <c r="H35" s="453">
        <f t="shared" si="26"/>
        <v>2130.5</v>
      </c>
      <c r="I35" s="473">
        <f t="shared" si="0"/>
        <v>0</v>
      </c>
      <c r="J35" s="473"/>
      <c r="K35" s="485"/>
      <c r="L35" s="476">
        <f t="shared" si="2"/>
        <v>0</v>
      </c>
      <c r="M35" s="485"/>
      <c r="N35" s="476">
        <f t="shared" si="4"/>
        <v>0</v>
      </c>
      <c r="O35" s="476">
        <f t="shared" si="5"/>
        <v>0</v>
      </c>
      <c r="P35" s="241"/>
    </row>
    <row r="36" spans="2:16">
      <c r="B36" s="160" t="str">
        <f t="shared" si="6"/>
        <v/>
      </c>
      <c r="C36" s="470">
        <f>IF(D11="","-",+C35+1)</f>
        <v>2029</v>
      </c>
      <c r="D36" s="483">
        <f>IF(F35+SUM(E$17:E35)=D$10,F35,D$10-SUM(E$17:E35))</f>
        <v>13620.709045964712</v>
      </c>
      <c r="E36" s="482">
        <f>IF(+I14&lt;F35,I14,D36)</f>
        <v>581.5</v>
      </c>
      <c r="F36" s="483">
        <f t="shared" si="24"/>
        <v>13039.209045964712</v>
      </c>
      <c r="G36" s="484">
        <f t="shared" si="25"/>
        <v>2064.5</v>
      </c>
      <c r="H36" s="453">
        <f t="shared" si="26"/>
        <v>2064.5</v>
      </c>
      <c r="I36" s="473">
        <f t="shared" si="0"/>
        <v>0</v>
      </c>
      <c r="J36" s="473"/>
      <c r="K36" s="485"/>
      <c r="L36" s="476">
        <f t="shared" si="2"/>
        <v>0</v>
      </c>
      <c r="M36" s="485"/>
      <c r="N36" s="476">
        <f t="shared" si="4"/>
        <v>0</v>
      </c>
      <c r="O36" s="476">
        <f t="shared" si="5"/>
        <v>0</v>
      </c>
      <c r="P36" s="241"/>
    </row>
    <row r="37" spans="2:16">
      <c r="B37" s="160" t="str">
        <f t="shared" si="6"/>
        <v/>
      </c>
      <c r="C37" s="470">
        <f>IF(D11="","-",+C36+1)</f>
        <v>2030</v>
      </c>
      <c r="D37" s="483">
        <f>IF(F36+SUM(E$17:E36)=D$10,F36,D$10-SUM(E$17:E36))</f>
        <v>13039.209045964712</v>
      </c>
      <c r="E37" s="482">
        <f>IF(+I14&lt;F36,I14,D37)</f>
        <v>581.5</v>
      </c>
      <c r="F37" s="483">
        <f t="shared" si="24"/>
        <v>12457.709045964712</v>
      </c>
      <c r="G37" s="484">
        <f t="shared" si="25"/>
        <v>1998.5</v>
      </c>
      <c r="H37" s="453">
        <f t="shared" si="26"/>
        <v>1998.5</v>
      </c>
      <c r="I37" s="473">
        <f t="shared" si="0"/>
        <v>0</v>
      </c>
      <c r="J37" s="473"/>
      <c r="K37" s="485"/>
      <c r="L37" s="476">
        <f t="shared" si="2"/>
        <v>0</v>
      </c>
      <c r="M37" s="485"/>
      <c r="N37" s="476">
        <f t="shared" si="4"/>
        <v>0</v>
      </c>
      <c r="O37" s="476">
        <f t="shared" si="5"/>
        <v>0</v>
      </c>
      <c r="P37" s="241"/>
    </row>
    <row r="38" spans="2:16">
      <c r="B38" s="160" t="str">
        <f t="shared" si="6"/>
        <v/>
      </c>
      <c r="C38" s="470">
        <f>IF(D11="","-",+C37+1)</f>
        <v>2031</v>
      </c>
      <c r="D38" s="483">
        <f>IF(F37+SUM(E$17:E37)=D$10,F37,D$10-SUM(E$17:E37))</f>
        <v>12457.709045964712</v>
      </c>
      <c r="E38" s="482">
        <f>IF(+I14&lt;F37,I14,D38)</f>
        <v>581.5</v>
      </c>
      <c r="F38" s="483">
        <f t="shared" si="24"/>
        <v>11876.209045964712</v>
      </c>
      <c r="G38" s="484">
        <f t="shared" si="25"/>
        <v>1932.5</v>
      </c>
      <c r="H38" s="453">
        <f t="shared" si="26"/>
        <v>1932.5</v>
      </c>
      <c r="I38" s="473">
        <f t="shared" si="0"/>
        <v>0</v>
      </c>
      <c r="J38" s="473"/>
      <c r="K38" s="485"/>
      <c r="L38" s="476">
        <f t="shared" si="2"/>
        <v>0</v>
      </c>
      <c r="M38" s="485"/>
      <c r="N38" s="476">
        <f t="shared" si="4"/>
        <v>0</v>
      </c>
      <c r="O38" s="476">
        <f t="shared" si="5"/>
        <v>0</v>
      </c>
      <c r="P38" s="241"/>
    </row>
    <row r="39" spans="2:16">
      <c r="B39" s="160" t="str">
        <f t="shared" si="6"/>
        <v/>
      </c>
      <c r="C39" s="470">
        <f>IF(D11="","-",+C38+1)</f>
        <v>2032</v>
      </c>
      <c r="D39" s="483">
        <f>IF(F38+SUM(E$17:E38)=D$10,F38,D$10-SUM(E$17:E38))</f>
        <v>11876.209045964712</v>
      </c>
      <c r="E39" s="482">
        <f>IF(+I14&lt;F38,I14,D39)</f>
        <v>581.5</v>
      </c>
      <c r="F39" s="483">
        <f t="shared" si="24"/>
        <v>11294.709045964712</v>
      </c>
      <c r="G39" s="484">
        <f t="shared" si="25"/>
        <v>1866.5</v>
      </c>
      <c r="H39" s="453">
        <f t="shared" si="26"/>
        <v>1866.5</v>
      </c>
      <c r="I39" s="473">
        <f t="shared" si="0"/>
        <v>0</v>
      </c>
      <c r="J39" s="473"/>
      <c r="K39" s="485"/>
      <c r="L39" s="476">
        <f t="shared" si="2"/>
        <v>0</v>
      </c>
      <c r="M39" s="485"/>
      <c r="N39" s="476">
        <f t="shared" si="4"/>
        <v>0</v>
      </c>
      <c r="O39" s="476">
        <f t="shared" si="5"/>
        <v>0</v>
      </c>
      <c r="P39" s="241"/>
    </row>
    <row r="40" spans="2:16">
      <c r="B40" s="160" t="str">
        <f t="shared" si="6"/>
        <v/>
      </c>
      <c r="C40" s="470">
        <f>IF(D11="","-",+C39+1)</f>
        <v>2033</v>
      </c>
      <c r="D40" s="483">
        <f>IF(F39+SUM(E$17:E39)=D$10,F39,D$10-SUM(E$17:E39))</f>
        <v>11294.709045964712</v>
      </c>
      <c r="E40" s="482">
        <f>IF(+I14&lt;F39,I14,D40)</f>
        <v>581.5</v>
      </c>
      <c r="F40" s="483">
        <f t="shared" si="24"/>
        <v>10713.209045964712</v>
      </c>
      <c r="G40" s="484">
        <f t="shared" si="25"/>
        <v>1800.5</v>
      </c>
      <c r="H40" s="453">
        <f t="shared" si="26"/>
        <v>1800.5</v>
      </c>
      <c r="I40" s="473">
        <f t="shared" si="0"/>
        <v>0</v>
      </c>
      <c r="J40" s="473"/>
      <c r="K40" s="485"/>
      <c r="L40" s="476">
        <f t="shared" si="2"/>
        <v>0</v>
      </c>
      <c r="M40" s="485"/>
      <c r="N40" s="476">
        <f t="shared" si="4"/>
        <v>0</v>
      </c>
      <c r="O40" s="476">
        <f t="shared" si="5"/>
        <v>0</v>
      </c>
      <c r="P40" s="241"/>
    </row>
    <row r="41" spans="2:16">
      <c r="B41" s="160" t="str">
        <f t="shared" si="6"/>
        <v/>
      </c>
      <c r="C41" s="470">
        <f>IF(D11="","-",+C40+1)</f>
        <v>2034</v>
      </c>
      <c r="D41" s="483">
        <f>IF(F40+SUM(E$17:E40)=D$10,F40,D$10-SUM(E$17:E40))</f>
        <v>10713.209045964712</v>
      </c>
      <c r="E41" s="482">
        <f>IF(+I14&lt;F40,I14,D41)</f>
        <v>581.5</v>
      </c>
      <c r="F41" s="483">
        <f t="shared" si="24"/>
        <v>10131.709045964712</v>
      </c>
      <c r="G41" s="484">
        <f t="shared" si="25"/>
        <v>1733.5</v>
      </c>
      <c r="H41" s="453">
        <f t="shared" si="26"/>
        <v>1733.5</v>
      </c>
      <c r="I41" s="473">
        <f t="shared" si="0"/>
        <v>0</v>
      </c>
      <c r="J41" s="473"/>
      <c r="K41" s="485"/>
      <c r="L41" s="476">
        <f t="shared" si="2"/>
        <v>0</v>
      </c>
      <c r="M41" s="485"/>
      <c r="N41" s="476">
        <f t="shared" si="4"/>
        <v>0</v>
      </c>
      <c r="O41" s="476">
        <f t="shared" si="5"/>
        <v>0</v>
      </c>
      <c r="P41" s="241"/>
    </row>
    <row r="42" spans="2:16">
      <c r="B42" s="160" t="str">
        <f t="shared" si="6"/>
        <v/>
      </c>
      <c r="C42" s="470">
        <f>IF(D11="","-",+C41+1)</f>
        <v>2035</v>
      </c>
      <c r="D42" s="483">
        <f>IF(F41+SUM(E$17:E41)=D$10,F41,D$10-SUM(E$17:E41))</f>
        <v>10131.709045964712</v>
      </c>
      <c r="E42" s="482">
        <f>IF(+I14&lt;F41,I14,D42)</f>
        <v>581.5</v>
      </c>
      <c r="F42" s="483">
        <f t="shared" si="24"/>
        <v>9550.2090459647115</v>
      </c>
      <c r="G42" s="484">
        <f t="shared" si="25"/>
        <v>1667.5</v>
      </c>
      <c r="H42" s="453">
        <f t="shared" si="26"/>
        <v>1667.5</v>
      </c>
      <c r="I42" s="473">
        <f t="shared" si="0"/>
        <v>0</v>
      </c>
      <c r="J42" s="473"/>
      <c r="K42" s="485"/>
      <c r="L42" s="476">
        <f t="shared" si="2"/>
        <v>0</v>
      </c>
      <c r="M42" s="485"/>
      <c r="N42" s="476">
        <f t="shared" si="4"/>
        <v>0</v>
      </c>
      <c r="O42" s="476">
        <f t="shared" si="5"/>
        <v>0</v>
      </c>
      <c r="P42" s="241"/>
    </row>
    <row r="43" spans="2:16">
      <c r="B43" s="160" t="str">
        <f t="shared" si="6"/>
        <v/>
      </c>
      <c r="C43" s="470">
        <f>IF(D11="","-",+C42+1)</f>
        <v>2036</v>
      </c>
      <c r="D43" s="483">
        <f>IF(F42+SUM(E$17:E42)=D$10,F42,D$10-SUM(E$17:E42))</f>
        <v>9550.2090459647115</v>
      </c>
      <c r="E43" s="482">
        <f>IF(+I14&lt;F42,I14,D43)</f>
        <v>581.5</v>
      </c>
      <c r="F43" s="483">
        <f t="shared" si="24"/>
        <v>8968.7090459647115</v>
      </c>
      <c r="G43" s="484">
        <f t="shared" si="25"/>
        <v>1601.5</v>
      </c>
      <c r="H43" s="453">
        <f t="shared" si="26"/>
        <v>1601.5</v>
      </c>
      <c r="I43" s="473">
        <f t="shared" si="0"/>
        <v>0</v>
      </c>
      <c r="J43" s="473"/>
      <c r="K43" s="485"/>
      <c r="L43" s="476">
        <f t="shared" si="2"/>
        <v>0</v>
      </c>
      <c r="M43" s="485"/>
      <c r="N43" s="476">
        <f t="shared" si="4"/>
        <v>0</v>
      </c>
      <c r="O43" s="476">
        <f t="shared" si="5"/>
        <v>0</v>
      </c>
      <c r="P43" s="241"/>
    </row>
    <row r="44" spans="2:16">
      <c r="B44" s="160" t="str">
        <f t="shared" si="6"/>
        <v/>
      </c>
      <c r="C44" s="470">
        <f>IF(D11="","-",+C43+1)</f>
        <v>2037</v>
      </c>
      <c r="D44" s="483">
        <f>IF(F43+SUM(E$17:E43)=D$10,F43,D$10-SUM(E$17:E43))</f>
        <v>8968.7090459647115</v>
      </c>
      <c r="E44" s="482">
        <f>IF(+I14&lt;F43,I14,D44)</f>
        <v>581.5</v>
      </c>
      <c r="F44" s="483">
        <f t="shared" si="24"/>
        <v>8387.2090459647115</v>
      </c>
      <c r="G44" s="484">
        <f t="shared" si="25"/>
        <v>1535.5</v>
      </c>
      <c r="H44" s="453">
        <f t="shared" si="26"/>
        <v>1535.5</v>
      </c>
      <c r="I44" s="473">
        <f t="shared" si="0"/>
        <v>0</v>
      </c>
      <c r="J44" s="473"/>
      <c r="K44" s="485"/>
      <c r="L44" s="476">
        <f t="shared" si="2"/>
        <v>0</v>
      </c>
      <c r="M44" s="485"/>
      <c r="N44" s="476">
        <f t="shared" si="4"/>
        <v>0</v>
      </c>
      <c r="O44" s="476">
        <f t="shared" si="5"/>
        <v>0</v>
      </c>
      <c r="P44" s="241"/>
    </row>
    <row r="45" spans="2:16">
      <c r="B45" s="160" t="str">
        <f t="shared" si="6"/>
        <v/>
      </c>
      <c r="C45" s="470">
        <f>IF(D11="","-",+C44+1)</f>
        <v>2038</v>
      </c>
      <c r="D45" s="483">
        <f>IF(F44+SUM(E$17:E44)=D$10,F44,D$10-SUM(E$17:E44))</f>
        <v>8387.2090459647115</v>
      </c>
      <c r="E45" s="482">
        <f>IF(+I14&lt;F44,I14,D45)</f>
        <v>581.5</v>
      </c>
      <c r="F45" s="483">
        <f t="shared" si="24"/>
        <v>7805.7090459647115</v>
      </c>
      <c r="G45" s="484">
        <f t="shared" si="25"/>
        <v>1469.5</v>
      </c>
      <c r="H45" s="453">
        <f t="shared" si="26"/>
        <v>1469.5</v>
      </c>
      <c r="I45" s="473">
        <f t="shared" si="0"/>
        <v>0</v>
      </c>
      <c r="J45" s="473"/>
      <c r="K45" s="485"/>
      <c r="L45" s="476">
        <f t="shared" si="2"/>
        <v>0</v>
      </c>
      <c r="M45" s="485"/>
      <c r="N45" s="476">
        <f t="shared" si="4"/>
        <v>0</v>
      </c>
      <c r="O45" s="476">
        <f t="shared" si="5"/>
        <v>0</v>
      </c>
      <c r="P45" s="241"/>
    </row>
    <row r="46" spans="2:16">
      <c r="B46" s="160" t="str">
        <f t="shared" si="6"/>
        <v/>
      </c>
      <c r="C46" s="470">
        <f>IF(D11="","-",+C45+1)</f>
        <v>2039</v>
      </c>
      <c r="D46" s="483">
        <f>IF(F45+SUM(E$17:E45)=D$10,F45,D$10-SUM(E$17:E45))</f>
        <v>7805.7090459647115</v>
      </c>
      <c r="E46" s="482">
        <f>IF(+I14&lt;F45,I14,D46)</f>
        <v>581.5</v>
      </c>
      <c r="F46" s="483">
        <f t="shared" si="24"/>
        <v>7224.2090459647115</v>
      </c>
      <c r="G46" s="484">
        <f t="shared" si="25"/>
        <v>1403.5</v>
      </c>
      <c r="H46" s="453">
        <f t="shared" si="26"/>
        <v>1403.5</v>
      </c>
      <c r="I46" s="473">
        <f t="shared" si="0"/>
        <v>0</v>
      </c>
      <c r="J46" s="473"/>
      <c r="K46" s="485"/>
      <c r="L46" s="476">
        <f t="shared" si="2"/>
        <v>0</v>
      </c>
      <c r="M46" s="485"/>
      <c r="N46" s="476">
        <f t="shared" si="4"/>
        <v>0</v>
      </c>
      <c r="O46" s="476">
        <f t="shared" si="5"/>
        <v>0</v>
      </c>
      <c r="P46" s="241"/>
    </row>
    <row r="47" spans="2:16">
      <c r="B47" s="160" t="str">
        <f t="shared" si="6"/>
        <v/>
      </c>
      <c r="C47" s="470">
        <f>IF(D11="","-",+C46+1)</f>
        <v>2040</v>
      </c>
      <c r="D47" s="483">
        <f>IF(F46+SUM(E$17:E46)=D$10,F46,D$10-SUM(E$17:E46))</f>
        <v>7224.2090459647115</v>
      </c>
      <c r="E47" s="482">
        <f>IF(+I14&lt;F46,I14,D47)</f>
        <v>581.5</v>
      </c>
      <c r="F47" s="483">
        <f t="shared" si="24"/>
        <v>6642.7090459647115</v>
      </c>
      <c r="G47" s="484">
        <f t="shared" si="25"/>
        <v>1337.5</v>
      </c>
      <c r="H47" s="453">
        <f t="shared" si="26"/>
        <v>1337.5</v>
      </c>
      <c r="I47" s="473">
        <f t="shared" si="0"/>
        <v>0</v>
      </c>
      <c r="J47" s="473"/>
      <c r="K47" s="485"/>
      <c r="L47" s="476">
        <f t="shared" si="2"/>
        <v>0</v>
      </c>
      <c r="M47" s="485"/>
      <c r="N47" s="476">
        <f t="shared" si="4"/>
        <v>0</v>
      </c>
      <c r="O47" s="476">
        <f t="shared" si="5"/>
        <v>0</v>
      </c>
      <c r="P47" s="241"/>
    </row>
    <row r="48" spans="2:16">
      <c r="B48" s="160" t="str">
        <f t="shared" si="6"/>
        <v/>
      </c>
      <c r="C48" s="470">
        <f>IF(D11="","-",+C47+1)</f>
        <v>2041</v>
      </c>
      <c r="D48" s="483">
        <f>IF(F47+SUM(E$17:E47)=D$10,F47,D$10-SUM(E$17:E47))</f>
        <v>6642.7090459647115</v>
      </c>
      <c r="E48" s="482">
        <f>IF(+I14&lt;F47,I14,D48)</f>
        <v>581.5</v>
      </c>
      <c r="F48" s="483">
        <f t="shared" si="24"/>
        <v>6061.2090459647115</v>
      </c>
      <c r="G48" s="484">
        <f t="shared" si="25"/>
        <v>1270.5</v>
      </c>
      <c r="H48" s="453">
        <f t="shared" si="26"/>
        <v>1270.5</v>
      </c>
      <c r="I48" s="473">
        <f t="shared" si="0"/>
        <v>0</v>
      </c>
      <c r="J48" s="473"/>
      <c r="K48" s="485"/>
      <c r="L48" s="476">
        <f t="shared" si="2"/>
        <v>0</v>
      </c>
      <c r="M48" s="485"/>
      <c r="N48" s="476">
        <f t="shared" si="4"/>
        <v>0</v>
      </c>
      <c r="O48" s="476">
        <f t="shared" si="5"/>
        <v>0</v>
      </c>
      <c r="P48" s="241"/>
    </row>
    <row r="49" spans="2:16">
      <c r="B49" s="160" t="str">
        <f t="shared" si="6"/>
        <v/>
      </c>
      <c r="C49" s="470">
        <f>IF(D11="","-",+C48+1)</f>
        <v>2042</v>
      </c>
      <c r="D49" s="483">
        <f>IF(F48+SUM(E$17:E48)=D$10,F48,D$10-SUM(E$17:E48))</f>
        <v>6061.2090459647115</v>
      </c>
      <c r="E49" s="482">
        <f>IF(+I14&lt;F48,I14,D49)</f>
        <v>581.5</v>
      </c>
      <c r="F49" s="483">
        <f t="shared" ref="F49:F72" si="27">+D49-E49</f>
        <v>5479.7090459647115</v>
      </c>
      <c r="G49" s="484">
        <f t="shared" si="25"/>
        <v>1204.5</v>
      </c>
      <c r="H49" s="453">
        <f t="shared" si="26"/>
        <v>1204.5</v>
      </c>
      <c r="I49" s="473">
        <f t="shared" ref="I49:I72" si="28">H49-G49</f>
        <v>0</v>
      </c>
      <c r="J49" s="473"/>
      <c r="K49" s="485"/>
      <c r="L49" s="476">
        <f t="shared" ref="L49:L72" si="29">IF(K49&lt;&gt;0,+G49-K49,0)</f>
        <v>0</v>
      </c>
      <c r="M49" s="485"/>
      <c r="N49" s="476">
        <f t="shared" ref="N49:N72" si="30">IF(M49&lt;&gt;0,+H49-M49,0)</f>
        <v>0</v>
      </c>
      <c r="O49" s="476">
        <f t="shared" ref="O49:O72" si="31">+N49-L49</f>
        <v>0</v>
      </c>
      <c r="P49" s="241"/>
    </row>
    <row r="50" spans="2:16">
      <c r="B50" s="160" t="str">
        <f t="shared" ref="B50:B72" si="32">IF(D50=F49,"","IU")</f>
        <v/>
      </c>
      <c r="C50" s="470">
        <f>IF(D11="","-",+C49+1)</f>
        <v>2043</v>
      </c>
      <c r="D50" s="483">
        <f>IF(F49+SUM(E$17:E49)=D$10,F49,D$10-SUM(E$17:E49))</f>
        <v>5479.7090459647115</v>
      </c>
      <c r="E50" s="482">
        <f>IF(+I14&lt;F49,I14,D50)</f>
        <v>581.5</v>
      </c>
      <c r="F50" s="483">
        <f t="shared" si="27"/>
        <v>4898.2090459647115</v>
      </c>
      <c r="G50" s="484">
        <f t="shared" ref="G50:G72" si="33">ROUND(I$12*F50,0)+E50</f>
        <v>1138.5</v>
      </c>
      <c r="H50" s="453">
        <f t="shared" ref="H50:H72" si="34">ROUND(I$13*F50,0)+E50</f>
        <v>1138.5</v>
      </c>
      <c r="I50" s="473">
        <f t="shared" si="28"/>
        <v>0</v>
      </c>
      <c r="J50" s="473"/>
      <c r="K50" s="485"/>
      <c r="L50" s="476">
        <f t="shared" si="29"/>
        <v>0</v>
      </c>
      <c r="M50" s="485"/>
      <c r="N50" s="476">
        <f t="shared" si="30"/>
        <v>0</v>
      </c>
      <c r="O50" s="476">
        <f t="shared" si="31"/>
        <v>0</v>
      </c>
      <c r="P50" s="241"/>
    </row>
    <row r="51" spans="2:16">
      <c r="B51" s="160" t="str">
        <f t="shared" si="32"/>
        <v/>
      </c>
      <c r="C51" s="470">
        <f>IF(D11="","-",+C50+1)</f>
        <v>2044</v>
      </c>
      <c r="D51" s="483">
        <f>IF(F50+SUM(E$17:E50)=D$10,F50,D$10-SUM(E$17:E50))</f>
        <v>4898.2090459647115</v>
      </c>
      <c r="E51" s="482">
        <f>IF(+I14&lt;F50,I14,D51)</f>
        <v>581.5</v>
      </c>
      <c r="F51" s="483">
        <f t="shared" si="27"/>
        <v>4316.7090459647115</v>
      </c>
      <c r="G51" s="484">
        <f t="shared" si="33"/>
        <v>1072.5</v>
      </c>
      <c r="H51" s="453">
        <f t="shared" si="34"/>
        <v>1072.5</v>
      </c>
      <c r="I51" s="473">
        <f t="shared" si="28"/>
        <v>0</v>
      </c>
      <c r="J51" s="473"/>
      <c r="K51" s="485"/>
      <c r="L51" s="476">
        <f t="shared" si="29"/>
        <v>0</v>
      </c>
      <c r="M51" s="485"/>
      <c r="N51" s="476">
        <f t="shared" si="30"/>
        <v>0</v>
      </c>
      <c r="O51" s="476">
        <f t="shared" si="31"/>
        <v>0</v>
      </c>
      <c r="P51" s="241"/>
    </row>
    <row r="52" spans="2:16">
      <c r="B52" s="160" t="str">
        <f t="shared" si="32"/>
        <v/>
      </c>
      <c r="C52" s="470">
        <f>IF(D11="","-",+C51+1)</f>
        <v>2045</v>
      </c>
      <c r="D52" s="483">
        <f>IF(F51+SUM(E$17:E51)=D$10,F51,D$10-SUM(E$17:E51))</f>
        <v>4316.7090459647115</v>
      </c>
      <c r="E52" s="482">
        <f>IF(+I14&lt;F51,I14,D52)</f>
        <v>581.5</v>
      </c>
      <c r="F52" s="483">
        <f t="shared" si="27"/>
        <v>3735.2090459647115</v>
      </c>
      <c r="G52" s="484">
        <f t="shared" si="33"/>
        <v>1006.5</v>
      </c>
      <c r="H52" s="453">
        <f t="shared" si="34"/>
        <v>1006.5</v>
      </c>
      <c r="I52" s="473">
        <f t="shared" si="28"/>
        <v>0</v>
      </c>
      <c r="J52" s="473"/>
      <c r="K52" s="485"/>
      <c r="L52" s="476">
        <f t="shared" si="29"/>
        <v>0</v>
      </c>
      <c r="M52" s="485"/>
      <c r="N52" s="476">
        <f t="shared" si="30"/>
        <v>0</v>
      </c>
      <c r="O52" s="476">
        <f t="shared" si="31"/>
        <v>0</v>
      </c>
      <c r="P52" s="241"/>
    </row>
    <row r="53" spans="2:16">
      <c r="B53" s="160" t="str">
        <f t="shared" si="32"/>
        <v/>
      </c>
      <c r="C53" s="470">
        <f>IF(D11="","-",+C52+1)</f>
        <v>2046</v>
      </c>
      <c r="D53" s="483">
        <f>IF(F52+SUM(E$17:E52)=D$10,F52,D$10-SUM(E$17:E52))</f>
        <v>3735.2090459647115</v>
      </c>
      <c r="E53" s="482">
        <f>IF(+I14&lt;F52,I14,D53)</f>
        <v>581.5</v>
      </c>
      <c r="F53" s="483">
        <f t="shared" si="27"/>
        <v>3153.7090459647115</v>
      </c>
      <c r="G53" s="484">
        <f t="shared" si="33"/>
        <v>940.5</v>
      </c>
      <c r="H53" s="453">
        <f t="shared" si="34"/>
        <v>940.5</v>
      </c>
      <c r="I53" s="473">
        <f t="shared" si="28"/>
        <v>0</v>
      </c>
      <c r="J53" s="473"/>
      <c r="K53" s="485"/>
      <c r="L53" s="476">
        <f t="shared" si="29"/>
        <v>0</v>
      </c>
      <c r="M53" s="485"/>
      <c r="N53" s="476">
        <f t="shared" si="30"/>
        <v>0</v>
      </c>
      <c r="O53" s="476">
        <f t="shared" si="31"/>
        <v>0</v>
      </c>
      <c r="P53" s="241"/>
    </row>
    <row r="54" spans="2:16">
      <c r="B54" s="160" t="str">
        <f t="shared" si="32"/>
        <v/>
      </c>
      <c r="C54" s="470">
        <f>IF(D11="","-",+C53+1)</f>
        <v>2047</v>
      </c>
      <c r="D54" s="483">
        <f>IF(F53+SUM(E$17:E53)=D$10,F53,D$10-SUM(E$17:E53))</f>
        <v>3153.7090459647115</v>
      </c>
      <c r="E54" s="482">
        <f>IF(+I14&lt;F53,I14,D54)</f>
        <v>581.5</v>
      </c>
      <c r="F54" s="483">
        <f t="shared" si="27"/>
        <v>2572.2090459647115</v>
      </c>
      <c r="G54" s="484">
        <f t="shared" si="33"/>
        <v>874.5</v>
      </c>
      <c r="H54" s="453">
        <f t="shared" si="34"/>
        <v>874.5</v>
      </c>
      <c r="I54" s="473">
        <f t="shared" si="28"/>
        <v>0</v>
      </c>
      <c r="J54" s="473"/>
      <c r="K54" s="485"/>
      <c r="L54" s="476">
        <f t="shared" si="29"/>
        <v>0</v>
      </c>
      <c r="M54" s="485"/>
      <c r="N54" s="476">
        <f t="shared" si="30"/>
        <v>0</v>
      </c>
      <c r="O54" s="476">
        <f t="shared" si="31"/>
        <v>0</v>
      </c>
      <c r="P54" s="241"/>
    </row>
    <row r="55" spans="2:16">
      <c r="B55" s="160" t="str">
        <f t="shared" si="32"/>
        <v/>
      </c>
      <c r="C55" s="470">
        <f>IF(D11="","-",+C54+1)</f>
        <v>2048</v>
      </c>
      <c r="D55" s="483">
        <f>IF(F54+SUM(E$17:E54)=D$10,F54,D$10-SUM(E$17:E54))</f>
        <v>2572.2090459647115</v>
      </c>
      <c r="E55" s="482">
        <f>IF(+I14&lt;F54,I14,D55)</f>
        <v>581.5</v>
      </c>
      <c r="F55" s="483">
        <f t="shared" si="27"/>
        <v>1990.7090459647115</v>
      </c>
      <c r="G55" s="484">
        <f t="shared" si="33"/>
        <v>807.5</v>
      </c>
      <c r="H55" s="453">
        <f t="shared" si="34"/>
        <v>807.5</v>
      </c>
      <c r="I55" s="473">
        <f t="shared" si="28"/>
        <v>0</v>
      </c>
      <c r="J55" s="473"/>
      <c r="K55" s="485"/>
      <c r="L55" s="476">
        <f t="shared" si="29"/>
        <v>0</v>
      </c>
      <c r="M55" s="485"/>
      <c r="N55" s="476">
        <f t="shared" si="30"/>
        <v>0</v>
      </c>
      <c r="O55" s="476">
        <f t="shared" si="31"/>
        <v>0</v>
      </c>
      <c r="P55" s="241"/>
    </row>
    <row r="56" spans="2:16">
      <c r="B56" s="160" t="str">
        <f t="shared" si="32"/>
        <v/>
      </c>
      <c r="C56" s="470">
        <f>IF(D11="","-",+C55+1)</f>
        <v>2049</v>
      </c>
      <c r="D56" s="483">
        <f>IF(F55+SUM(E$17:E55)=D$10,F55,D$10-SUM(E$17:E55))</f>
        <v>1990.7090459647115</v>
      </c>
      <c r="E56" s="482">
        <f>IF(+I14&lt;F55,I14,D56)</f>
        <v>581.5</v>
      </c>
      <c r="F56" s="483">
        <f t="shared" si="27"/>
        <v>1409.2090459647115</v>
      </c>
      <c r="G56" s="484">
        <f t="shared" si="33"/>
        <v>741.5</v>
      </c>
      <c r="H56" s="453">
        <f t="shared" si="34"/>
        <v>741.5</v>
      </c>
      <c r="I56" s="473">
        <f t="shared" si="28"/>
        <v>0</v>
      </c>
      <c r="J56" s="473"/>
      <c r="K56" s="485"/>
      <c r="L56" s="476">
        <f t="shared" si="29"/>
        <v>0</v>
      </c>
      <c r="M56" s="485"/>
      <c r="N56" s="476">
        <f t="shared" si="30"/>
        <v>0</v>
      </c>
      <c r="O56" s="476">
        <f t="shared" si="31"/>
        <v>0</v>
      </c>
      <c r="P56" s="241"/>
    </row>
    <row r="57" spans="2:16">
      <c r="B57" s="160" t="str">
        <f t="shared" si="32"/>
        <v/>
      </c>
      <c r="C57" s="470">
        <f>IF(D11="","-",+C56+1)</f>
        <v>2050</v>
      </c>
      <c r="D57" s="483">
        <f>IF(F56+SUM(E$17:E56)=D$10,F56,D$10-SUM(E$17:E56))</f>
        <v>1409.2090459647115</v>
      </c>
      <c r="E57" s="482">
        <f>IF(+I14&lt;F56,I14,D57)</f>
        <v>581.5</v>
      </c>
      <c r="F57" s="483">
        <f t="shared" si="27"/>
        <v>827.70904596471155</v>
      </c>
      <c r="G57" s="484">
        <f t="shared" si="33"/>
        <v>675.5</v>
      </c>
      <c r="H57" s="453">
        <f t="shared" si="34"/>
        <v>675.5</v>
      </c>
      <c r="I57" s="473">
        <f t="shared" si="28"/>
        <v>0</v>
      </c>
      <c r="J57" s="473"/>
      <c r="K57" s="485"/>
      <c r="L57" s="476">
        <f t="shared" si="29"/>
        <v>0</v>
      </c>
      <c r="M57" s="485"/>
      <c r="N57" s="476">
        <f t="shared" si="30"/>
        <v>0</v>
      </c>
      <c r="O57" s="476">
        <f t="shared" si="31"/>
        <v>0</v>
      </c>
      <c r="P57" s="241"/>
    </row>
    <row r="58" spans="2:16">
      <c r="B58" s="160" t="str">
        <f t="shared" si="32"/>
        <v/>
      </c>
      <c r="C58" s="470">
        <f>IF(D11="","-",+C57+1)</f>
        <v>2051</v>
      </c>
      <c r="D58" s="483">
        <f>IF(F57+SUM(E$17:E57)=D$10,F57,D$10-SUM(E$17:E57))</f>
        <v>827.70904596471155</v>
      </c>
      <c r="E58" s="482">
        <f>IF(+I14&lt;F57,I14,D58)</f>
        <v>581.5</v>
      </c>
      <c r="F58" s="483">
        <f t="shared" si="27"/>
        <v>246.20904596471155</v>
      </c>
      <c r="G58" s="484">
        <f t="shared" si="33"/>
        <v>609.5</v>
      </c>
      <c r="H58" s="453">
        <f t="shared" si="34"/>
        <v>609.5</v>
      </c>
      <c r="I58" s="473">
        <f t="shared" si="28"/>
        <v>0</v>
      </c>
      <c r="J58" s="473"/>
      <c r="K58" s="485"/>
      <c r="L58" s="476">
        <f t="shared" si="29"/>
        <v>0</v>
      </c>
      <c r="M58" s="485"/>
      <c r="N58" s="476">
        <f t="shared" si="30"/>
        <v>0</v>
      </c>
      <c r="O58" s="476">
        <f t="shared" si="31"/>
        <v>0</v>
      </c>
      <c r="P58" s="241"/>
    </row>
    <row r="59" spans="2:16">
      <c r="B59" s="160" t="str">
        <f t="shared" si="32"/>
        <v/>
      </c>
      <c r="C59" s="470">
        <f>IF(D11="","-",+C58+1)</f>
        <v>2052</v>
      </c>
      <c r="D59" s="483">
        <f>IF(F58+SUM(E$17:E58)=D$10,F58,D$10-SUM(E$17:E58))</f>
        <v>246.20904596471155</v>
      </c>
      <c r="E59" s="482">
        <f>IF(+I14&lt;F58,I14,D59)</f>
        <v>246.20904596471155</v>
      </c>
      <c r="F59" s="483">
        <f t="shared" si="27"/>
        <v>0</v>
      </c>
      <c r="G59" s="484">
        <f t="shared" si="33"/>
        <v>246.20904596471155</v>
      </c>
      <c r="H59" s="453">
        <f t="shared" si="34"/>
        <v>246.20904596471155</v>
      </c>
      <c r="I59" s="473">
        <f t="shared" si="28"/>
        <v>0</v>
      </c>
      <c r="J59" s="473"/>
      <c r="K59" s="485"/>
      <c r="L59" s="476">
        <f t="shared" si="29"/>
        <v>0</v>
      </c>
      <c r="M59" s="485"/>
      <c r="N59" s="476">
        <f t="shared" si="30"/>
        <v>0</v>
      </c>
      <c r="O59" s="476">
        <f t="shared" si="31"/>
        <v>0</v>
      </c>
      <c r="P59" s="241"/>
    </row>
    <row r="60" spans="2:16">
      <c r="B60" s="160" t="str">
        <f t="shared" si="32"/>
        <v/>
      </c>
      <c r="C60" s="470">
        <f>IF(D11="","-",+C59+1)</f>
        <v>2053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7"/>
        <v>0</v>
      </c>
      <c r="G60" s="484">
        <f t="shared" si="33"/>
        <v>0</v>
      </c>
      <c r="H60" s="453">
        <f t="shared" si="34"/>
        <v>0</v>
      </c>
      <c r="I60" s="473">
        <f t="shared" si="28"/>
        <v>0</v>
      </c>
      <c r="J60" s="473"/>
      <c r="K60" s="485"/>
      <c r="L60" s="476">
        <f t="shared" si="29"/>
        <v>0</v>
      </c>
      <c r="M60" s="485"/>
      <c r="N60" s="476">
        <f t="shared" si="30"/>
        <v>0</v>
      </c>
      <c r="O60" s="476">
        <f t="shared" si="31"/>
        <v>0</v>
      </c>
      <c r="P60" s="241"/>
    </row>
    <row r="61" spans="2:16">
      <c r="B61" s="160" t="str">
        <f t="shared" si="32"/>
        <v/>
      </c>
      <c r="C61" s="470">
        <f>IF(D11="","-",+C60+1)</f>
        <v>2054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7"/>
        <v>0</v>
      </c>
      <c r="G61" s="486">
        <f t="shared" si="33"/>
        <v>0</v>
      </c>
      <c r="H61" s="453">
        <f t="shared" si="34"/>
        <v>0</v>
      </c>
      <c r="I61" s="473">
        <f t="shared" si="28"/>
        <v>0</v>
      </c>
      <c r="J61" s="473"/>
      <c r="K61" s="485"/>
      <c r="L61" s="476">
        <f t="shared" si="29"/>
        <v>0</v>
      </c>
      <c r="M61" s="485"/>
      <c r="N61" s="476">
        <f t="shared" si="30"/>
        <v>0</v>
      </c>
      <c r="O61" s="476">
        <f t="shared" si="31"/>
        <v>0</v>
      </c>
      <c r="P61" s="241"/>
    </row>
    <row r="62" spans="2:16">
      <c r="B62" s="160" t="str">
        <f t="shared" si="32"/>
        <v/>
      </c>
      <c r="C62" s="470">
        <f>IF(D11="","-",+C61+1)</f>
        <v>2055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7"/>
        <v>0</v>
      </c>
      <c r="G62" s="486">
        <f t="shared" si="33"/>
        <v>0</v>
      </c>
      <c r="H62" s="453">
        <f t="shared" si="34"/>
        <v>0</v>
      </c>
      <c r="I62" s="473">
        <f t="shared" si="28"/>
        <v>0</v>
      </c>
      <c r="J62" s="473"/>
      <c r="K62" s="485"/>
      <c r="L62" s="476">
        <f t="shared" si="29"/>
        <v>0</v>
      </c>
      <c r="M62" s="485"/>
      <c r="N62" s="476">
        <f t="shared" si="30"/>
        <v>0</v>
      </c>
      <c r="O62" s="476">
        <f t="shared" si="31"/>
        <v>0</v>
      </c>
      <c r="P62" s="241"/>
    </row>
    <row r="63" spans="2:16">
      <c r="B63" s="160" t="str">
        <f t="shared" si="32"/>
        <v/>
      </c>
      <c r="C63" s="470">
        <f>IF(D11="","-",+C62+1)</f>
        <v>2056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7"/>
        <v>0</v>
      </c>
      <c r="G63" s="486">
        <f t="shared" si="33"/>
        <v>0</v>
      </c>
      <c r="H63" s="453">
        <f t="shared" si="34"/>
        <v>0</v>
      </c>
      <c r="I63" s="473">
        <f t="shared" si="28"/>
        <v>0</v>
      </c>
      <c r="J63" s="473"/>
      <c r="K63" s="485"/>
      <c r="L63" s="476">
        <f t="shared" si="29"/>
        <v>0</v>
      </c>
      <c r="M63" s="485"/>
      <c r="N63" s="476">
        <f t="shared" si="30"/>
        <v>0</v>
      </c>
      <c r="O63" s="476">
        <f t="shared" si="31"/>
        <v>0</v>
      </c>
      <c r="P63" s="241"/>
    </row>
    <row r="64" spans="2:16">
      <c r="B64" s="160" t="str">
        <f t="shared" si="32"/>
        <v/>
      </c>
      <c r="C64" s="470">
        <f>IF(D11="","-",+C63+1)</f>
        <v>2057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7"/>
        <v>0</v>
      </c>
      <c r="G64" s="486">
        <f t="shared" si="33"/>
        <v>0</v>
      </c>
      <c r="H64" s="453">
        <f t="shared" si="34"/>
        <v>0</v>
      </c>
      <c r="I64" s="473">
        <f t="shared" si="28"/>
        <v>0</v>
      </c>
      <c r="J64" s="473"/>
      <c r="K64" s="485"/>
      <c r="L64" s="476">
        <f t="shared" si="29"/>
        <v>0</v>
      </c>
      <c r="M64" s="485"/>
      <c r="N64" s="476">
        <f t="shared" si="30"/>
        <v>0</v>
      </c>
      <c r="O64" s="476">
        <f t="shared" si="31"/>
        <v>0</v>
      </c>
      <c r="P64" s="241"/>
    </row>
    <row r="65" spans="2:16">
      <c r="B65" s="160" t="str">
        <f t="shared" si="32"/>
        <v/>
      </c>
      <c r="C65" s="470">
        <f>IF(D11="","-",+C64+1)</f>
        <v>2058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7"/>
        <v>0</v>
      </c>
      <c r="G65" s="486">
        <f t="shared" si="33"/>
        <v>0</v>
      </c>
      <c r="H65" s="453">
        <f t="shared" si="34"/>
        <v>0</v>
      </c>
      <c r="I65" s="473">
        <f t="shared" si="28"/>
        <v>0</v>
      </c>
      <c r="J65" s="473"/>
      <c r="K65" s="485"/>
      <c r="L65" s="476">
        <f t="shared" si="29"/>
        <v>0</v>
      </c>
      <c r="M65" s="485"/>
      <c r="N65" s="476">
        <f t="shared" si="30"/>
        <v>0</v>
      </c>
      <c r="O65" s="476">
        <f t="shared" si="31"/>
        <v>0</v>
      </c>
      <c r="P65" s="241"/>
    </row>
    <row r="66" spans="2:16">
      <c r="B66" s="160" t="str">
        <f t="shared" si="32"/>
        <v/>
      </c>
      <c r="C66" s="470">
        <f>IF(D11="","-",+C65+1)</f>
        <v>2059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7"/>
        <v>0</v>
      </c>
      <c r="G66" s="486">
        <f t="shared" si="33"/>
        <v>0</v>
      </c>
      <c r="H66" s="453">
        <f t="shared" si="34"/>
        <v>0</v>
      </c>
      <c r="I66" s="473">
        <f t="shared" si="28"/>
        <v>0</v>
      </c>
      <c r="J66" s="473"/>
      <c r="K66" s="485"/>
      <c r="L66" s="476">
        <f t="shared" si="29"/>
        <v>0</v>
      </c>
      <c r="M66" s="485"/>
      <c r="N66" s="476">
        <f t="shared" si="30"/>
        <v>0</v>
      </c>
      <c r="O66" s="476">
        <f t="shared" si="31"/>
        <v>0</v>
      </c>
      <c r="P66" s="241"/>
    </row>
    <row r="67" spans="2:16">
      <c r="B67" s="160" t="str">
        <f t="shared" si="32"/>
        <v/>
      </c>
      <c r="C67" s="470">
        <f>IF(D11="","-",+C66+1)</f>
        <v>2060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7"/>
        <v>0</v>
      </c>
      <c r="G67" s="486">
        <f t="shared" si="33"/>
        <v>0</v>
      </c>
      <c r="H67" s="453">
        <f t="shared" si="34"/>
        <v>0</v>
      </c>
      <c r="I67" s="473">
        <f t="shared" si="28"/>
        <v>0</v>
      </c>
      <c r="J67" s="473"/>
      <c r="K67" s="485"/>
      <c r="L67" s="476">
        <f t="shared" si="29"/>
        <v>0</v>
      </c>
      <c r="M67" s="485"/>
      <c r="N67" s="476">
        <f t="shared" si="30"/>
        <v>0</v>
      </c>
      <c r="O67" s="476">
        <f t="shared" si="31"/>
        <v>0</v>
      </c>
      <c r="P67" s="241"/>
    </row>
    <row r="68" spans="2:16">
      <c r="B68" s="160" t="str">
        <f t="shared" si="32"/>
        <v/>
      </c>
      <c r="C68" s="470">
        <f>IF(D11="","-",+C67+1)</f>
        <v>2061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7"/>
        <v>0</v>
      </c>
      <c r="G68" s="486">
        <f t="shared" si="33"/>
        <v>0</v>
      </c>
      <c r="H68" s="453">
        <f t="shared" si="34"/>
        <v>0</v>
      </c>
      <c r="I68" s="473">
        <f t="shared" si="28"/>
        <v>0</v>
      </c>
      <c r="J68" s="473"/>
      <c r="K68" s="485"/>
      <c r="L68" s="476">
        <f t="shared" si="29"/>
        <v>0</v>
      </c>
      <c r="M68" s="485"/>
      <c r="N68" s="476">
        <f t="shared" si="30"/>
        <v>0</v>
      </c>
      <c r="O68" s="476">
        <f t="shared" si="31"/>
        <v>0</v>
      </c>
      <c r="P68" s="241"/>
    </row>
    <row r="69" spans="2:16">
      <c r="B69" s="160" t="str">
        <f t="shared" si="32"/>
        <v/>
      </c>
      <c r="C69" s="470">
        <f>IF(D11="","-",+C68+1)</f>
        <v>2062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7"/>
        <v>0</v>
      </c>
      <c r="G69" s="486">
        <f t="shared" si="33"/>
        <v>0</v>
      </c>
      <c r="H69" s="453">
        <f t="shared" si="34"/>
        <v>0</v>
      </c>
      <c r="I69" s="473">
        <f t="shared" si="28"/>
        <v>0</v>
      </c>
      <c r="J69" s="473"/>
      <c r="K69" s="485"/>
      <c r="L69" s="476">
        <f t="shared" si="29"/>
        <v>0</v>
      </c>
      <c r="M69" s="485"/>
      <c r="N69" s="476">
        <f t="shared" si="30"/>
        <v>0</v>
      </c>
      <c r="O69" s="476">
        <f t="shared" si="31"/>
        <v>0</v>
      </c>
      <c r="P69" s="241"/>
    </row>
    <row r="70" spans="2:16">
      <c r="B70" s="160" t="str">
        <f t="shared" si="32"/>
        <v/>
      </c>
      <c r="C70" s="470">
        <f>IF(D11="","-",+C69+1)</f>
        <v>2063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7"/>
        <v>0</v>
      </c>
      <c r="G70" s="486">
        <f t="shared" si="33"/>
        <v>0</v>
      </c>
      <c r="H70" s="453">
        <f t="shared" si="34"/>
        <v>0</v>
      </c>
      <c r="I70" s="473">
        <f t="shared" si="28"/>
        <v>0</v>
      </c>
      <c r="J70" s="473"/>
      <c r="K70" s="485"/>
      <c r="L70" s="476">
        <f t="shared" si="29"/>
        <v>0</v>
      </c>
      <c r="M70" s="485"/>
      <c r="N70" s="476">
        <f t="shared" si="30"/>
        <v>0</v>
      </c>
      <c r="O70" s="476">
        <f t="shared" si="31"/>
        <v>0</v>
      </c>
      <c r="P70" s="241"/>
    </row>
    <row r="71" spans="2:16">
      <c r="B71" s="160" t="str">
        <f t="shared" si="32"/>
        <v/>
      </c>
      <c r="C71" s="470">
        <f>IF(D11="","-",+C70+1)</f>
        <v>2064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7"/>
        <v>0</v>
      </c>
      <c r="G71" s="486">
        <f t="shared" si="33"/>
        <v>0</v>
      </c>
      <c r="H71" s="453">
        <f t="shared" si="34"/>
        <v>0</v>
      </c>
      <c r="I71" s="473">
        <f t="shared" si="28"/>
        <v>0</v>
      </c>
      <c r="J71" s="473"/>
      <c r="K71" s="485"/>
      <c r="L71" s="476">
        <f t="shared" si="29"/>
        <v>0</v>
      </c>
      <c r="M71" s="485"/>
      <c r="N71" s="476">
        <f t="shared" si="30"/>
        <v>0</v>
      </c>
      <c r="O71" s="476">
        <f t="shared" si="31"/>
        <v>0</v>
      </c>
      <c r="P71" s="241"/>
    </row>
    <row r="72" spans="2:16" ht="13.5" thickBot="1">
      <c r="B72" s="160" t="str">
        <f t="shared" si="32"/>
        <v/>
      </c>
      <c r="C72" s="487">
        <f>IF(D11="","-",+C71+1)</f>
        <v>2065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7"/>
        <v>0</v>
      </c>
      <c r="G72" s="490">
        <f t="shared" si="33"/>
        <v>0</v>
      </c>
      <c r="H72" s="433">
        <f t="shared" si="34"/>
        <v>0</v>
      </c>
      <c r="I72" s="491">
        <f t="shared" si="28"/>
        <v>0</v>
      </c>
      <c r="J72" s="473"/>
      <c r="K72" s="492"/>
      <c r="L72" s="493">
        <f t="shared" si="29"/>
        <v>0</v>
      </c>
      <c r="M72" s="492"/>
      <c r="N72" s="493">
        <f t="shared" si="30"/>
        <v>0</v>
      </c>
      <c r="O72" s="493">
        <f t="shared" si="31"/>
        <v>0</v>
      </c>
      <c r="P72" s="241"/>
    </row>
    <row r="73" spans="2:16">
      <c r="C73" s="345" t="s">
        <v>77</v>
      </c>
      <c r="D73" s="346"/>
      <c r="E73" s="346">
        <f>SUM(E17:E72)</f>
        <v>22097.000000000004</v>
      </c>
      <c r="F73" s="346"/>
      <c r="G73" s="346">
        <f>SUM(G17:G72)</f>
        <v>77040.989946362111</v>
      </c>
      <c r="H73" s="346">
        <f>SUM(H17:H72)</f>
        <v>77040.989946362111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13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2369.1190476190477</v>
      </c>
      <c r="N87" s="506">
        <f>IF(J92&lt;D11,0,VLOOKUP(J92,C17:O72,11))</f>
        <v>2369.1190476190477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2465.6674743531971</v>
      </c>
      <c r="N88" s="510">
        <f>IF(J92&lt;D11,0,VLOOKUP(J92,C99:P154,7))</f>
        <v>2465.6674743531971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CoffeyvilleT to Dearing 138 kv Rebuild - 1.1 mi*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96.548426734149416</v>
      </c>
      <c r="N89" s="515">
        <f>+N88-N87</f>
        <v>96.548426734149416</v>
      </c>
      <c r="O89" s="516">
        <f>+O88-O87</f>
        <v>0</v>
      </c>
      <c r="P89" s="231"/>
    </row>
    <row r="90" spans="1:16" ht="13.5" thickBot="1">
      <c r="C90" s="494"/>
      <c r="D90" s="517" t="str">
        <f>D8</f>
        <v>DOES NOT MEET SPP $100,000 MINIMUM INVESTMENT FOR REGIONAL BPU SHARING.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TP2008013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445">
        <v>22097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f>IF(D11=I10,"",D11)</f>
        <v>2010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f>IF(D11=I10,"",D12)</f>
        <v>6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539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588">
        <f>D93</f>
        <v>2010</v>
      </c>
      <c r="D99" s="589">
        <v>0</v>
      </c>
      <c r="E99" s="590">
        <v>0</v>
      </c>
      <c r="F99" s="590">
        <v>0</v>
      </c>
      <c r="G99" s="590">
        <v>0</v>
      </c>
      <c r="H99" s="591">
        <v>0</v>
      </c>
      <c r="I99" s="590">
        <v>0</v>
      </c>
      <c r="J99" s="592">
        <v>0</v>
      </c>
      <c r="K99" s="476"/>
      <c r="L99" s="565">
        <f t="shared" ref="L99:L104" si="35">H99</f>
        <v>0</v>
      </c>
      <c r="M99" s="566">
        <f t="shared" ref="M99:M104" si="36">IF(L99&lt;&gt;0,+H99-L99,0)</f>
        <v>0</v>
      </c>
      <c r="N99" s="565">
        <f t="shared" ref="N99:N104" si="37">I99</f>
        <v>0</v>
      </c>
      <c r="O99" s="475">
        <f t="shared" ref="O99:O104" si="38">IF(N99&lt;&gt;0,+I99-N99,0)</f>
        <v>0</v>
      </c>
      <c r="P99" s="475">
        <f t="shared" ref="P99:P104" si="39">+O99-M99</f>
        <v>0</v>
      </c>
    </row>
    <row r="100" spans="1:16">
      <c r="C100" s="470">
        <f>IF(D91="","-",+C99+1)</f>
        <v>2011</v>
      </c>
      <c r="D100" s="593">
        <v>0</v>
      </c>
      <c r="E100" s="594">
        <v>0</v>
      </c>
      <c r="F100" s="594">
        <v>0</v>
      </c>
      <c r="G100" s="594">
        <v>0</v>
      </c>
      <c r="H100" s="595">
        <v>0</v>
      </c>
      <c r="I100" s="594">
        <v>0</v>
      </c>
      <c r="J100" s="596">
        <v>0</v>
      </c>
      <c r="K100" s="476"/>
      <c r="L100" s="538">
        <f t="shared" si="35"/>
        <v>0</v>
      </c>
      <c r="M100" s="539">
        <f t="shared" si="36"/>
        <v>0</v>
      </c>
      <c r="N100" s="538">
        <f t="shared" si="37"/>
        <v>0</v>
      </c>
      <c r="O100" s="476">
        <f t="shared" si="38"/>
        <v>0</v>
      </c>
      <c r="P100" s="476">
        <f t="shared" si="39"/>
        <v>0</v>
      </c>
    </row>
    <row r="101" spans="1:16">
      <c r="C101" s="470">
        <f>IF(D92="","-",+C100+1)</f>
        <v>2012</v>
      </c>
      <c r="D101" s="576">
        <v>22097</v>
      </c>
      <c r="E101" s="577">
        <v>212.5</v>
      </c>
      <c r="F101" s="578">
        <v>21884.5</v>
      </c>
      <c r="G101" s="578">
        <v>21990.75</v>
      </c>
      <c r="H101" s="580">
        <v>3375.9899363381005</v>
      </c>
      <c r="I101" s="581">
        <v>3375.9899363381005</v>
      </c>
      <c r="J101" s="476">
        <v>0</v>
      </c>
      <c r="K101" s="476"/>
      <c r="L101" s="538">
        <f t="shared" si="35"/>
        <v>3375.9899363381005</v>
      </c>
      <c r="M101" s="539">
        <f t="shared" si="36"/>
        <v>0</v>
      </c>
      <c r="N101" s="538">
        <f t="shared" si="37"/>
        <v>3375.9899363381005</v>
      </c>
      <c r="O101" s="476">
        <f t="shared" si="38"/>
        <v>0</v>
      </c>
      <c r="P101" s="476">
        <f t="shared" si="39"/>
        <v>0</v>
      </c>
    </row>
    <row r="102" spans="1:16">
      <c r="B102" s="160" t="str">
        <f t="shared" ref="B102:B133" si="40">IF(D102=F101,"","IU")</f>
        <v/>
      </c>
      <c r="C102" s="470">
        <f>IF(D93="","-",+C101+1)</f>
        <v>2013</v>
      </c>
      <c r="D102" s="576">
        <v>21884.5</v>
      </c>
      <c r="E102" s="577">
        <v>425</v>
      </c>
      <c r="F102" s="578">
        <v>21459.5</v>
      </c>
      <c r="G102" s="578">
        <v>21672</v>
      </c>
      <c r="H102" s="580">
        <v>3544.458879858515</v>
      </c>
      <c r="I102" s="581">
        <v>3544.458879858515</v>
      </c>
      <c r="J102" s="476">
        <v>0</v>
      </c>
      <c r="K102" s="476"/>
      <c r="L102" s="538">
        <f t="shared" si="35"/>
        <v>3544.458879858515</v>
      </c>
      <c r="M102" s="539">
        <f t="shared" si="36"/>
        <v>0</v>
      </c>
      <c r="N102" s="538">
        <f t="shared" si="37"/>
        <v>3544.458879858515</v>
      </c>
      <c r="O102" s="476">
        <f t="shared" si="38"/>
        <v>0</v>
      </c>
      <c r="P102" s="476">
        <f t="shared" si="39"/>
        <v>0</v>
      </c>
    </row>
    <row r="103" spans="1:16">
      <c r="B103" s="160" t="str">
        <f t="shared" si="40"/>
        <v/>
      </c>
      <c r="C103" s="470">
        <f>IF(D93="","-",+C102+1)</f>
        <v>2014</v>
      </c>
      <c r="D103" s="576">
        <v>21459.5</v>
      </c>
      <c r="E103" s="577">
        <v>425</v>
      </c>
      <c r="F103" s="578">
        <v>21034.5</v>
      </c>
      <c r="G103" s="578">
        <v>21247</v>
      </c>
      <c r="H103" s="580">
        <v>3412.2413474199548</v>
      </c>
      <c r="I103" s="581">
        <v>3412.2413474199548</v>
      </c>
      <c r="J103" s="476">
        <v>0</v>
      </c>
      <c r="K103" s="476"/>
      <c r="L103" s="538">
        <f t="shared" si="35"/>
        <v>3412.2413474199548</v>
      </c>
      <c r="M103" s="539">
        <f t="shared" si="36"/>
        <v>0</v>
      </c>
      <c r="N103" s="538">
        <f t="shared" si="37"/>
        <v>3412.2413474199548</v>
      </c>
      <c r="O103" s="476">
        <f t="shared" si="38"/>
        <v>0</v>
      </c>
      <c r="P103" s="476">
        <f t="shared" si="39"/>
        <v>0</v>
      </c>
    </row>
    <row r="104" spans="1:16">
      <c r="B104" s="160" t="str">
        <f t="shared" si="40"/>
        <v/>
      </c>
      <c r="C104" s="470">
        <f>IF(D93="","-",+C103+1)</f>
        <v>2015</v>
      </c>
      <c r="D104" s="576">
        <v>21034.5</v>
      </c>
      <c r="E104" s="577">
        <v>425</v>
      </c>
      <c r="F104" s="578">
        <v>20609.5</v>
      </c>
      <c r="G104" s="578">
        <v>20822</v>
      </c>
      <c r="H104" s="580">
        <v>3265.9944828697971</v>
      </c>
      <c r="I104" s="581">
        <v>3265.9944828697971</v>
      </c>
      <c r="J104" s="476">
        <f t="shared" ref="J104:J132" si="41">+I104-H104</f>
        <v>0</v>
      </c>
      <c r="K104" s="476"/>
      <c r="L104" s="538">
        <f t="shared" si="35"/>
        <v>3265.9944828697971</v>
      </c>
      <c r="M104" s="539">
        <f t="shared" si="36"/>
        <v>0</v>
      </c>
      <c r="N104" s="538">
        <f t="shared" si="37"/>
        <v>3265.9944828697971</v>
      </c>
      <c r="O104" s="476">
        <f t="shared" si="38"/>
        <v>0</v>
      </c>
      <c r="P104" s="476">
        <f t="shared" si="39"/>
        <v>0</v>
      </c>
    </row>
    <row r="105" spans="1:16">
      <c r="B105" s="160" t="str">
        <f t="shared" si="40"/>
        <v/>
      </c>
      <c r="C105" s="470">
        <f>IF(D93="","-",+C104+1)</f>
        <v>2016</v>
      </c>
      <c r="D105" s="576">
        <v>20609.5</v>
      </c>
      <c r="E105" s="577">
        <v>480</v>
      </c>
      <c r="F105" s="578">
        <v>20129.5</v>
      </c>
      <c r="G105" s="578">
        <v>20369.5</v>
      </c>
      <c r="H105" s="580">
        <v>3105.9493466960757</v>
      </c>
      <c r="I105" s="581">
        <v>3105.9493466960757</v>
      </c>
      <c r="J105" s="476">
        <f t="shared" si="41"/>
        <v>0</v>
      </c>
      <c r="K105" s="476"/>
      <c r="L105" s="538">
        <f t="shared" ref="L105:L110" si="42">H105</f>
        <v>3105.9493466960757</v>
      </c>
      <c r="M105" s="539">
        <f t="shared" ref="M105:M110" si="43">IF(L105&lt;&gt;0,+H105-L105,0)</f>
        <v>0</v>
      </c>
      <c r="N105" s="538">
        <f t="shared" ref="N105:N110" si="44">I105</f>
        <v>3105.9493466960757</v>
      </c>
      <c r="O105" s="476">
        <f t="shared" ref="O105:O110" si="45">IF(N105&lt;&gt;0,+I105-N105,0)</f>
        <v>0</v>
      </c>
      <c r="P105" s="476">
        <f>+O105-M105</f>
        <v>0</v>
      </c>
    </row>
    <row r="106" spans="1:16">
      <c r="B106" s="160" t="str">
        <f t="shared" si="40"/>
        <v/>
      </c>
      <c r="C106" s="470">
        <f>IF(D93="","-",+C105+1)</f>
        <v>2017</v>
      </c>
      <c r="D106" s="576">
        <v>20129.5</v>
      </c>
      <c r="E106" s="577">
        <v>480</v>
      </c>
      <c r="F106" s="578">
        <v>19649.5</v>
      </c>
      <c r="G106" s="578">
        <v>19889.5</v>
      </c>
      <c r="H106" s="580">
        <v>3003.0332263920673</v>
      </c>
      <c r="I106" s="581">
        <v>3003.0332263920673</v>
      </c>
      <c r="J106" s="476">
        <f t="shared" si="41"/>
        <v>0</v>
      </c>
      <c r="K106" s="476"/>
      <c r="L106" s="538">
        <f t="shared" si="42"/>
        <v>3003.0332263920673</v>
      </c>
      <c r="M106" s="539">
        <f t="shared" si="43"/>
        <v>0</v>
      </c>
      <c r="N106" s="538">
        <f t="shared" si="44"/>
        <v>3003.0332263920673</v>
      </c>
      <c r="O106" s="476">
        <f t="shared" si="45"/>
        <v>0</v>
      </c>
      <c r="P106" s="476">
        <f>+O106-M106</f>
        <v>0</v>
      </c>
    </row>
    <row r="107" spans="1:16">
      <c r="B107" s="160" t="str">
        <f t="shared" si="40"/>
        <v/>
      </c>
      <c r="C107" s="470">
        <f>IF(D93="","-",+C106+1)</f>
        <v>2018</v>
      </c>
      <c r="D107" s="576">
        <v>19649.5</v>
      </c>
      <c r="E107" s="577">
        <v>514</v>
      </c>
      <c r="F107" s="578">
        <v>19135.5</v>
      </c>
      <c r="G107" s="578">
        <v>19392.5</v>
      </c>
      <c r="H107" s="580">
        <v>2506.299479691007</v>
      </c>
      <c r="I107" s="581">
        <v>2506.299479691007</v>
      </c>
      <c r="J107" s="476">
        <f t="shared" si="41"/>
        <v>0</v>
      </c>
      <c r="K107" s="476"/>
      <c r="L107" s="538">
        <f t="shared" si="42"/>
        <v>2506.299479691007</v>
      </c>
      <c r="M107" s="539">
        <f t="shared" si="43"/>
        <v>0</v>
      </c>
      <c r="N107" s="538">
        <f t="shared" si="44"/>
        <v>2506.299479691007</v>
      </c>
      <c r="O107" s="476">
        <f t="shared" si="45"/>
        <v>0</v>
      </c>
      <c r="P107" s="476">
        <f>+O107-M107</f>
        <v>0</v>
      </c>
    </row>
    <row r="108" spans="1:16">
      <c r="B108" s="160" t="str">
        <f t="shared" si="40"/>
        <v/>
      </c>
      <c r="C108" s="470">
        <f>IF(D93="","-",+C107+1)</f>
        <v>2019</v>
      </c>
      <c r="D108" s="576">
        <v>19135.5</v>
      </c>
      <c r="E108" s="577">
        <v>539</v>
      </c>
      <c r="F108" s="578">
        <v>18596.5</v>
      </c>
      <c r="G108" s="578">
        <v>18866</v>
      </c>
      <c r="H108" s="580">
        <v>2484.3492160371716</v>
      </c>
      <c r="I108" s="581">
        <v>2484.3492160371716</v>
      </c>
      <c r="J108" s="476">
        <f t="shared" si="41"/>
        <v>0</v>
      </c>
      <c r="K108" s="476"/>
      <c r="L108" s="538">
        <f t="shared" si="42"/>
        <v>2484.3492160371716</v>
      </c>
      <c r="M108" s="539">
        <f t="shared" si="43"/>
        <v>0</v>
      </c>
      <c r="N108" s="538">
        <f t="shared" si="44"/>
        <v>2484.3492160371716</v>
      </c>
      <c r="O108" s="476">
        <f t="shared" si="45"/>
        <v>0</v>
      </c>
      <c r="P108" s="476">
        <f t="shared" ref="P108:P109" si="46">+O108-M108</f>
        <v>0</v>
      </c>
    </row>
    <row r="109" spans="1:16">
      <c r="B109" s="160" t="str">
        <f t="shared" si="40"/>
        <v/>
      </c>
      <c r="C109" s="470">
        <f>IF(D93="","-",+C108+1)</f>
        <v>2020</v>
      </c>
      <c r="D109" s="576">
        <v>18596.5</v>
      </c>
      <c r="E109" s="577">
        <v>514</v>
      </c>
      <c r="F109" s="578">
        <v>18082.5</v>
      </c>
      <c r="G109" s="578">
        <v>18339.5</v>
      </c>
      <c r="H109" s="580">
        <v>2628.4939297021565</v>
      </c>
      <c r="I109" s="581">
        <v>2628.4939297021565</v>
      </c>
      <c r="J109" s="476">
        <f t="shared" si="41"/>
        <v>0</v>
      </c>
      <c r="K109" s="476"/>
      <c r="L109" s="538">
        <f t="shared" si="42"/>
        <v>2628.4939297021565</v>
      </c>
      <c r="M109" s="539">
        <f t="shared" si="43"/>
        <v>0</v>
      </c>
      <c r="N109" s="538">
        <f t="shared" si="44"/>
        <v>2628.4939297021565</v>
      </c>
      <c r="O109" s="476">
        <f t="shared" si="45"/>
        <v>0</v>
      </c>
      <c r="P109" s="476">
        <f t="shared" si="46"/>
        <v>0</v>
      </c>
    </row>
    <row r="110" spans="1:16">
      <c r="B110" s="160" t="str">
        <f t="shared" si="40"/>
        <v/>
      </c>
      <c r="C110" s="470">
        <f>IF(D93="","-",+C109+1)</f>
        <v>2021</v>
      </c>
      <c r="D110" s="576">
        <v>18082.5</v>
      </c>
      <c r="E110" s="577">
        <v>567</v>
      </c>
      <c r="F110" s="578">
        <v>17515.5</v>
      </c>
      <c r="G110" s="578">
        <v>17799</v>
      </c>
      <c r="H110" s="580">
        <v>2528.1410385336903</v>
      </c>
      <c r="I110" s="581">
        <v>2528.1410385336903</v>
      </c>
      <c r="J110" s="476">
        <f t="shared" si="41"/>
        <v>0</v>
      </c>
      <c r="K110" s="476"/>
      <c r="L110" s="538">
        <f t="shared" si="42"/>
        <v>2528.1410385336903</v>
      </c>
      <c r="M110" s="539">
        <f t="shared" si="43"/>
        <v>0</v>
      </c>
      <c r="N110" s="538">
        <f t="shared" si="44"/>
        <v>2528.1410385336903</v>
      </c>
      <c r="O110" s="476">
        <f t="shared" si="45"/>
        <v>0</v>
      </c>
      <c r="P110" s="476">
        <f t="shared" ref="P110" si="47">+O110-M110</f>
        <v>0</v>
      </c>
    </row>
    <row r="111" spans="1:16">
      <c r="B111" s="160" t="str">
        <f t="shared" si="40"/>
        <v/>
      </c>
      <c r="C111" s="631">
        <f>IF(D93="","-",+C110+1)</f>
        <v>2022</v>
      </c>
      <c r="D111" s="345">
        <v>17515.5</v>
      </c>
      <c r="E111" s="484">
        <v>567</v>
      </c>
      <c r="F111" s="483">
        <v>16948.5</v>
      </c>
      <c r="G111" s="483">
        <v>17232</v>
      </c>
      <c r="H111" s="486">
        <v>2465.6674743531971</v>
      </c>
      <c r="I111" s="540">
        <v>2465.6674743531971</v>
      </c>
      <c r="J111" s="476">
        <f t="shared" si="41"/>
        <v>0</v>
      </c>
      <c r="K111" s="476"/>
      <c r="L111" s="485"/>
      <c r="M111" s="476">
        <f t="shared" ref="M111:M130" si="48">IF(L111&lt;&gt;0,+H113-L111,0)</f>
        <v>0</v>
      </c>
      <c r="N111" s="485"/>
      <c r="O111" s="476">
        <f t="shared" ref="O111:O154" si="49">IF(N111&lt;&gt;0,+I111-N111,0)</f>
        <v>0</v>
      </c>
      <c r="P111" s="476">
        <f t="shared" ref="P111:P154" si="50">+O111-M111</f>
        <v>0</v>
      </c>
    </row>
    <row r="112" spans="1:16">
      <c r="B112" s="160" t="str">
        <f t="shared" si="40"/>
        <v/>
      </c>
      <c r="C112" s="470">
        <f>IF(D93="","-",+C111+1)</f>
        <v>2023</v>
      </c>
      <c r="D112" s="345">
        <f>IF(F111+SUM(E$101:E111)=D$92,F111,D$92-SUM(E$101:E111))</f>
        <v>16948.5</v>
      </c>
      <c r="E112" s="484">
        <f>IF(+J96&lt;F111,J96,D112)</f>
        <v>539</v>
      </c>
      <c r="F112" s="483">
        <f t="shared" ref="F112:F133" si="51">+D112-E112</f>
        <v>16409.5</v>
      </c>
      <c r="G112" s="483">
        <f t="shared" ref="G112:G132" si="52">+(F112+D112)/2</f>
        <v>16679</v>
      </c>
      <c r="H112" s="486">
        <f t="shared" ref="H112:H132" si="53">+J$94*G112+E112</f>
        <v>2436.9499949717847</v>
      </c>
      <c r="I112" s="540">
        <f t="shared" ref="I112:I132" si="54">+J$95*G112+E112</f>
        <v>2436.9499949717847</v>
      </c>
      <c r="J112" s="476">
        <f t="shared" si="41"/>
        <v>0</v>
      </c>
      <c r="K112" s="476"/>
      <c r="L112" s="485"/>
      <c r="M112" s="476">
        <f t="shared" si="48"/>
        <v>0</v>
      </c>
      <c r="N112" s="485"/>
      <c r="O112" s="476">
        <f t="shared" si="49"/>
        <v>0</v>
      </c>
      <c r="P112" s="476">
        <f t="shared" si="50"/>
        <v>0</v>
      </c>
    </row>
    <row r="113" spans="2:16">
      <c r="B113" s="160" t="str">
        <f t="shared" si="40"/>
        <v/>
      </c>
      <c r="C113" s="470">
        <f>IF(D93="","-",+C112+1)</f>
        <v>2024</v>
      </c>
      <c r="D113" s="345">
        <f>IF(F112+SUM(E$101:E112)=D$92,F112,D$92-SUM(E$101:E112))</f>
        <v>16409.5</v>
      </c>
      <c r="E113" s="484">
        <f>IF(+J96&lt;F112,J96,D113)</f>
        <v>539</v>
      </c>
      <c r="F113" s="483">
        <f t="shared" si="51"/>
        <v>15870.5</v>
      </c>
      <c r="G113" s="483">
        <f t="shared" si="52"/>
        <v>16140</v>
      </c>
      <c r="H113" s="486">
        <f t="shared" si="53"/>
        <v>2375.6156795278257</v>
      </c>
      <c r="I113" s="540">
        <f t="shared" si="54"/>
        <v>2375.6156795278257</v>
      </c>
      <c r="J113" s="476">
        <f t="shared" si="41"/>
        <v>0</v>
      </c>
      <c r="K113" s="476"/>
      <c r="L113" s="485"/>
      <c r="M113" s="476">
        <f t="shared" si="48"/>
        <v>0</v>
      </c>
      <c r="N113" s="485"/>
      <c r="O113" s="476">
        <f t="shared" si="49"/>
        <v>0</v>
      </c>
      <c r="P113" s="476">
        <f t="shared" si="50"/>
        <v>0</v>
      </c>
    </row>
    <row r="114" spans="2:16">
      <c r="B114" s="160" t="str">
        <f t="shared" si="40"/>
        <v/>
      </c>
      <c r="C114" s="470">
        <f>IF(D93="","-",+C113+1)</f>
        <v>2025</v>
      </c>
      <c r="D114" s="345">
        <f>IF(F113+SUM(E$101:E113)=D$92,F113,D$92-SUM(E$101:E113))</f>
        <v>15870.5</v>
      </c>
      <c r="E114" s="484">
        <f>IF(+J96&lt;F113,J96,D114)</f>
        <v>539</v>
      </c>
      <c r="F114" s="483">
        <f t="shared" si="51"/>
        <v>15331.5</v>
      </c>
      <c r="G114" s="483">
        <f t="shared" si="52"/>
        <v>15601</v>
      </c>
      <c r="H114" s="486">
        <f t="shared" si="53"/>
        <v>2314.2813640838667</v>
      </c>
      <c r="I114" s="540">
        <f t="shared" si="54"/>
        <v>2314.2813640838667</v>
      </c>
      <c r="J114" s="476">
        <f t="shared" si="41"/>
        <v>0</v>
      </c>
      <c r="K114" s="476"/>
      <c r="L114" s="485"/>
      <c r="M114" s="476">
        <f t="shared" si="48"/>
        <v>0</v>
      </c>
      <c r="N114" s="485"/>
      <c r="O114" s="476">
        <f t="shared" si="49"/>
        <v>0</v>
      </c>
      <c r="P114" s="476">
        <f t="shared" si="50"/>
        <v>0</v>
      </c>
    </row>
    <row r="115" spans="2:16">
      <c r="B115" s="160" t="str">
        <f t="shared" si="40"/>
        <v/>
      </c>
      <c r="C115" s="470">
        <f>IF(D93="","-",+C114+1)</f>
        <v>2026</v>
      </c>
      <c r="D115" s="345">
        <f>IF(F114+SUM(E$101:E114)=D$92,F114,D$92-SUM(E$101:E114))</f>
        <v>15331.5</v>
      </c>
      <c r="E115" s="484">
        <f>IF(+J96&lt;F114,J96,D115)</f>
        <v>539</v>
      </c>
      <c r="F115" s="483">
        <f t="shared" si="51"/>
        <v>14792.5</v>
      </c>
      <c r="G115" s="483">
        <f t="shared" si="52"/>
        <v>15062</v>
      </c>
      <c r="H115" s="486">
        <f t="shared" si="53"/>
        <v>2252.9470486399077</v>
      </c>
      <c r="I115" s="540">
        <f t="shared" si="54"/>
        <v>2252.9470486399077</v>
      </c>
      <c r="J115" s="476">
        <f t="shared" si="41"/>
        <v>0</v>
      </c>
      <c r="K115" s="476"/>
      <c r="L115" s="485"/>
      <c r="M115" s="476">
        <f t="shared" si="48"/>
        <v>0</v>
      </c>
      <c r="N115" s="485"/>
      <c r="O115" s="476">
        <f t="shared" si="49"/>
        <v>0</v>
      </c>
      <c r="P115" s="476">
        <f t="shared" si="50"/>
        <v>0</v>
      </c>
    </row>
    <row r="116" spans="2:16">
      <c r="B116" s="160" t="str">
        <f t="shared" si="40"/>
        <v/>
      </c>
      <c r="C116" s="470">
        <f>IF(D93="","-",+C115+1)</f>
        <v>2027</v>
      </c>
      <c r="D116" s="345">
        <f>IF(F115+SUM(E$101:E115)=D$92,F115,D$92-SUM(E$101:E115))</f>
        <v>14792.5</v>
      </c>
      <c r="E116" s="484">
        <f>IF(+J96&lt;F115,J96,D116)</f>
        <v>539</v>
      </c>
      <c r="F116" s="483">
        <f t="shared" si="51"/>
        <v>14253.5</v>
      </c>
      <c r="G116" s="483">
        <f t="shared" si="52"/>
        <v>14523</v>
      </c>
      <c r="H116" s="486">
        <f t="shared" si="53"/>
        <v>2191.6127331959487</v>
      </c>
      <c r="I116" s="540">
        <f t="shared" si="54"/>
        <v>2191.6127331959487</v>
      </c>
      <c r="J116" s="476">
        <f t="shared" si="41"/>
        <v>0</v>
      </c>
      <c r="K116" s="476"/>
      <c r="L116" s="485"/>
      <c r="M116" s="476">
        <f t="shared" si="48"/>
        <v>0</v>
      </c>
      <c r="N116" s="485"/>
      <c r="O116" s="476">
        <f t="shared" si="49"/>
        <v>0</v>
      </c>
      <c r="P116" s="476">
        <f t="shared" si="50"/>
        <v>0</v>
      </c>
    </row>
    <row r="117" spans="2:16">
      <c r="B117" s="160" t="str">
        <f t="shared" si="40"/>
        <v/>
      </c>
      <c r="C117" s="470">
        <f>IF(D93="","-",+C116+1)</f>
        <v>2028</v>
      </c>
      <c r="D117" s="345">
        <f>IF(F116+SUM(E$101:E116)=D$92,F116,D$92-SUM(E$101:E116))</f>
        <v>14253.5</v>
      </c>
      <c r="E117" s="484">
        <f>IF(+J96&lt;F116,J96,D117)</f>
        <v>539</v>
      </c>
      <c r="F117" s="483">
        <f t="shared" si="51"/>
        <v>13714.5</v>
      </c>
      <c r="G117" s="483">
        <f t="shared" si="52"/>
        <v>13984</v>
      </c>
      <c r="H117" s="486">
        <f t="shared" si="53"/>
        <v>2130.2784177519898</v>
      </c>
      <c r="I117" s="540">
        <f t="shared" si="54"/>
        <v>2130.2784177519898</v>
      </c>
      <c r="J117" s="476">
        <f t="shared" si="41"/>
        <v>0</v>
      </c>
      <c r="K117" s="476"/>
      <c r="L117" s="485"/>
      <c r="M117" s="476">
        <f t="shared" si="48"/>
        <v>0</v>
      </c>
      <c r="N117" s="485"/>
      <c r="O117" s="476">
        <f t="shared" si="49"/>
        <v>0</v>
      </c>
      <c r="P117" s="476">
        <f t="shared" si="50"/>
        <v>0</v>
      </c>
    </row>
    <row r="118" spans="2:16">
      <c r="B118" s="160" t="str">
        <f t="shared" si="40"/>
        <v/>
      </c>
      <c r="C118" s="470">
        <f>IF(D93="","-",+C117+1)</f>
        <v>2029</v>
      </c>
      <c r="D118" s="345">
        <f>IF(F117+SUM(E$101:E117)=D$92,F117,D$92-SUM(E$101:E117))</f>
        <v>13714.5</v>
      </c>
      <c r="E118" s="484">
        <f>IF(+J96&lt;F117,J96,D118)</f>
        <v>539</v>
      </c>
      <c r="F118" s="483">
        <f t="shared" si="51"/>
        <v>13175.5</v>
      </c>
      <c r="G118" s="483">
        <f t="shared" si="52"/>
        <v>13445</v>
      </c>
      <c r="H118" s="486">
        <f t="shared" si="53"/>
        <v>2068.9441023080308</v>
      </c>
      <c r="I118" s="540">
        <f t="shared" si="54"/>
        <v>2068.9441023080308</v>
      </c>
      <c r="J118" s="476">
        <f t="shared" si="41"/>
        <v>0</v>
      </c>
      <c r="K118" s="476"/>
      <c r="L118" s="485"/>
      <c r="M118" s="476">
        <f t="shared" si="48"/>
        <v>0</v>
      </c>
      <c r="N118" s="485"/>
      <c r="O118" s="476">
        <f t="shared" si="49"/>
        <v>0</v>
      </c>
      <c r="P118" s="476">
        <f t="shared" si="50"/>
        <v>0</v>
      </c>
    </row>
    <row r="119" spans="2:16">
      <c r="B119" s="160" t="str">
        <f t="shared" si="40"/>
        <v/>
      </c>
      <c r="C119" s="470">
        <f>IF(D93="","-",+C118+1)</f>
        <v>2030</v>
      </c>
      <c r="D119" s="345">
        <f>IF(F118+SUM(E$101:E118)=D$92,F118,D$92-SUM(E$101:E118))</f>
        <v>13175.5</v>
      </c>
      <c r="E119" s="484">
        <f t="shared" ref="E119:E154" si="55">IF(+J$96&lt;F118,J$96,D119)</f>
        <v>539</v>
      </c>
      <c r="F119" s="483">
        <f t="shared" si="51"/>
        <v>12636.5</v>
      </c>
      <c r="G119" s="483">
        <f t="shared" si="52"/>
        <v>12906</v>
      </c>
      <c r="H119" s="486">
        <f t="shared" si="53"/>
        <v>2007.6097868640718</v>
      </c>
      <c r="I119" s="540">
        <f t="shared" si="54"/>
        <v>2007.6097868640718</v>
      </c>
      <c r="J119" s="476">
        <f t="shared" si="41"/>
        <v>0</v>
      </c>
      <c r="K119" s="476"/>
      <c r="L119" s="485"/>
      <c r="M119" s="476">
        <f t="shared" si="48"/>
        <v>0</v>
      </c>
      <c r="N119" s="485"/>
      <c r="O119" s="476">
        <f t="shared" si="49"/>
        <v>0</v>
      </c>
      <c r="P119" s="476">
        <f t="shared" si="50"/>
        <v>0</v>
      </c>
    </row>
    <row r="120" spans="2:16">
      <c r="B120" s="160" t="str">
        <f t="shared" si="40"/>
        <v/>
      </c>
      <c r="C120" s="470">
        <f>IF(D93="","-",+C119+1)</f>
        <v>2031</v>
      </c>
      <c r="D120" s="345">
        <f>IF(F119+SUM(E$101:E119)=D$92,F119,D$92-SUM(E$101:E119))</f>
        <v>12636.5</v>
      </c>
      <c r="E120" s="484">
        <f t="shared" si="55"/>
        <v>539</v>
      </c>
      <c r="F120" s="483">
        <f t="shared" si="51"/>
        <v>12097.5</v>
      </c>
      <c r="G120" s="483">
        <f t="shared" si="52"/>
        <v>12367</v>
      </c>
      <c r="H120" s="486">
        <f t="shared" si="53"/>
        <v>1946.2754714201128</v>
      </c>
      <c r="I120" s="540">
        <f t="shared" si="54"/>
        <v>1946.2754714201128</v>
      </c>
      <c r="J120" s="476">
        <f t="shared" si="41"/>
        <v>0</v>
      </c>
      <c r="K120" s="476"/>
      <c r="L120" s="485"/>
      <c r="M120" s="476">
        <f t="shared" si="48"/>
        <v>0</v>
      </c>
      <c r="N120" s="485"/>
      <c r="O120" s="476">
        <f t="shared" si="49"/>
        <v>0</v>
      </c>
      <c r="P120" s="476">
        <f t="shared" si="50"/>
        <v>0</v>
      </c>
    </row>
    <row r="121" spans="2:16">
      <c r="B121" s="160" t="str">
        <f t="shared" si="40"/>
        <v/>
      </c>
      <c r="C121" s="470">
        <f>IF(D93="","-",+C120+1)</f>
        <v>2032</v>
      </c>
      <c r="D121" s="345">
        <f>IF(F120+SUM(E$101:E120)=D$92,F120,D$92-SUM(E$101:E120))</f>
        <v>12097.5</v>
      </c>
      <c r="E121" s="484">
        <f t="shared" si="55"/>
        <v>539</v>
      </c>
      <c r="F121" s="483">
        <f t="shared" si="51"/>
        <v>11558.5</v>
      </c>
      <c r="G121" s="483">
        <f t="shared" si="52"/>
        <v>11828</v>
      </c>
      <c r="H121" s="486">
        <f t="shared" si="53"/>
        <v>1884.9411559761538</v>
      </c>
      <c r="I121" s="540">
        <f t="shared" si="54"/>
        <v>1884.9411559761538</v>
      </c>
      <c r="J121" s="476">
        <f t="shared" si="41"/>
        <v>0</v>
      </c>
      <c r="K121" s="476"/>
      <c r="L121" s="485"/>
      <c r="M121" s="476">
        <f t="shared" si="48"/>
        <v>0</v>
      </c>
      <c r="N121" s="485"/>
      <c r="O121" s="476">
        <f t="shared" si="49"/>
        <v>0</v>
      </c>
      <c r="P121" s="476">
        <f t="shared" si="50"/>
        <v>0</v>
      </c>
    </row>
    <row r="122" spans="2:16">
      <c r="B122" s="160" t="str">
        <f t="shared" si="40"/>
        <v/>
      </c>
      <c r="C122" s="470">
        <f>IF(D93="","-",+C121+1)</f>
        <v>2033</v>
      </c>
      <c r="D122" s="345">
        <f>IF(F121+SUM(E$101:E121)=D$92,F121,D$92-SUM(E$101:E121))</f>
        <v>11558.5</v>
      </c>
      <c r="E122" s="484">
        <f t="shared" si="55"/>
        <v>539</v>
      </c>
      <c r="F122" s="483">
        <f t="shared" si="51"/>
        <v>11019.5</v>
      </c>
      <c r="G122" s="483">
        <f t="shared" si="52"/>
        <v>11289</v>
      </c>
      <c r="H122" s="486">
        <f t="shared" si="53"/>
        <v>1823.6068405321948</v>
      </c>
      <c r="I122" s="540">
        <f t="shared" si="54"/>
        <v>1823.6068405321948</v>
      </c>
      <c r="J122" s="476">
        <f t="shared" si="41"/>
        <v>0</v>
      </c>
      <c r="K122" s="476"/>
      <c r="L122" s="485"/>
      <c r="M122" s="476">
        <f t="shared" si="48"/>
        <v>0</v>
      </c>
      <c r="N122" s="485"/>
      <c r="O122" s="476">
        <f t="shared" si="49"/>
        <v>0</v>
      </c>
      <c r="P122" s="476">
        <f t="shared" si="50"/>
        <v>0</v>
      </c>
    </row>
    <row r="123" spans="2:16">
      <c r="B123" s="160" t="str">
        <f t="shared" si="40"/>
        <v/>
      </c>
      <c r="C123" s="470">
        <f>IF(D93="","-",+C122+1)</f>
        <v>2034</v>
      </c>
      <c r="D123" s="345">
        <f>IF(F122+SUM(E$101:E122)=D$92,F122,D$92-SUM(E$101:E122))</f>
        <v>11019.5</v>
      </c>
      <c r="E123" s="484">
        <f t="shared" si="55"/>
        <v>539</v>
      </c>
      <c r="F123" s="483">
        <f t="shared" si="51"/>
        <v>10480.5</v>
      </c>
      <c r="G123" s="483">
        <f t="shared" si="52"/>
        <v>10750</v>
      </c>
      <c r="H123" s="486">
        <f t="shared" si="53"/>
        <v>1762.2725250882359</v>
      </c>
      <c r="I123" s="540">
        <f t="shared" si="54"/>
        <v>1762.2725250882359</v>
      </c>
      <c r="J123" s="476">
        <f t="shared" si="41"/>
        <v>0</v>
      </c>
      <c r="K123" s="476"/>
      <c r="L123" s="485"/>
      <c r="M123" s="476">
        <f t="shared" si="48"/>
        <v>0</v>
      </c>
      <c r="N123" s="485"/>
      <c r="O123" s="476">
        <f t="shared" si="49"/>
        <v>0</v>
      </c>
      <c r="P123" s="476">
        <f t="shared" si="50"/>
        <v>0</v>
      </c>
    </row>
    <row r="124" spans="2:16">
      <c r="B124" s="160" t="str">
        <f t="shared" si="40"/>
        <v/>
      </c>
      <c r="C124" s="470">
        <f>IF(D93="","-",+C123+1)</f>
        <v>2035</v>
      </c>
      <c r="D124" s="345">
        <f>IF(F123+SUM(E$101:E123)=D$92,F123,D$92-SUM(E$101:E123))</f>
        <v>10480.5</v>
      </c>
      <c r="E124" s="484">
        <f t="shared" si="55"/>
        <v>539</v>
      </c>
      <c r="F124" s="483">
        <f t="shared" si="51"/>
        <v>9941.5</v>
      </c>
      <c r="G124" s="483">
        <f t="shared" si="52"/>
        <v>10211</v>
      </c>
      <c r="H124" s="486">
        <f t="shared" si="53"/>
        <v>1700.9382096442769</v>
      </c>
      <c r="I124" s="540">
        <f t="shared" si="54"/>
        <v>1700.9382096442769</v>
      </c>
      <c r="J124" s="476">
        <f t="shared" si="41"/>
        <v>0</v>
      </c>
      <c r="K124" s="476"/>
      <c r="L124" s="485"/>
      <c r="M124" s="476">
        <f t="shared" si="48"/>
        <v>0</v>
      </c>
      <c r="N124" s="485"/>
      <c r="O124" s="476">
        <f t="shared" si="49"/>
        <v>0</v>
      </c>
      <c r="P124" s="476">
        <f t="shared" si="50"/>
        <v>0</v>
      </c>
    </row>
    <row r="125" spans="2:16">
      <c r="B125" s="160" t="str">
        <f t="shared" si="40"/>
        <v/>
      </c>
      <c r="C125" s="470">
        <f>IF(D93="","-",+C124+1)</f>
        <v>2036</v>
      </c>
      <c r="D125" s="345">
        <f>IF(F124+SUM(E$101:E124)=D$92,F124,D$92-SUM(E$101:E124))</f>
        <v>9941.5</v>
      </c>
      <c r="E125" s="484">
        <f t="shared" si="55"/>
        <v>539</v>
      </c>
      <c r="F125" s="483">
        <f t="shared" si="51"/>
        <v>9402.5</v>
      </c>
      <c r="G125" s="483">
        <f t="shared" si="52"/>
        <v>9672</v>
      </c>
      <c r="H125" s="486">
        <f t="shared" si="53"/>
        <v>1639.6038942003179</v>
      </c>
      <c r="I125" s="540">
        <f t="shared" si="54"/>
        <v>1639.6038942003179</v>
      </c>
      <c r="J125" s="476">
        <f t="shared" si="41"/>
        <v>0</v>
      </c>
      <c r="K125" s="476"/>
      <c r="L125" s="485"/>
      <c r="M125" s="476">
        <f t="shared" si="48"/>
        <v>0</v>
      </c>
      <c r="N125" s="485"/>
      <c r="O125" s="476">
        <f t="shared" si="49"/>
        <v>0</v>
      </c>
      <c r="P125" s="476">
        <f t="shared" si="50"/>
        <v>0</v>
      </c>
    </row>
    <row r="126" spans="2:16">
      <c r="B126" s="160" t="str">
        <f t="shared" si="40"/>
        <v/>
      </c>
      <c r="C126" s="470">
        <f>IF(D93="","-",+C125+1)</f>
        <v>2037</v>
      </c>
      <c r="D126" s="345">
        <f>IF(F125+SUM(E$101:E125)=D$92,F125,D$92-SUM(E$101:E125))</f>
        <v>9402.5</v>
      </c>
      <c r="E126" s="484">
        <f t="shared" si="55"/>
        <v>539</v>
      </c>
      <c r="F126" s="483">
        <f t="shared" si="51"/>
        <v>8863.5</v>
      </c>
      <c r="G126" s="483">
        <f t="shared" si="52"/>
        <v>9133</v>
      </c>
      <c r="H126" s="486">
        <f t="shared" si="53"/>
        <v>1578.2695787563589</v>
      </c>
      <c r="I126" s="540">
        <f t="shared" si="54"/>
        <v>1578.2695787563589</v>
      </c>
      <c r="J126" s="476">
        <f t="shared" si="41"/>
        <v>0</v>
      </c>
      <c r="K126" s="476"/>
      <c r="L126" s="485"/>
      <c r="M126" s="476">
        <f t="shared" si="48"/>
        <v>0</v>
      </c>
      <c r="N126" s="485"/>
      <c r="O126" s="476">
        <f t="shared" si="49"/>
        <v>0</v>
      </c>
      <c r="P126" s="476">
        <f t="shared" si="50"/>
        <v>0</v>
      </c>
    </row>
    <row r="127" spans="2:16">
      <c r="B127" s="160" t="str">
        <f t="shared" si="40"/>
        <v/>
      </c>
      <c r="C127" s="470">
        <f>IF(D93="","-",+C126+1)</f>
        <v>2038</v>
      </c>
      <c r="D127" s="345">
        <f>IF(F126+SUM(E$101:E126)=D$92,F126,D$92-SUM(E$101:E126))</f>
        <v>8863.5</v>
      </c>
      <c r="E127" s="484">
        <f t="shared" si="55"/>
        <v>539</v>
      </c>
      <c r="F127" s="483">
        <f t="shared" si="51"/>
        <v>8324.5</v>
      </c>
      <c r="G127" s="483">
        <f t="shared" si="52"/>
        <v>8594</v>
      </c>
      <c r="H127" s="486">
        <f t="shared" si="53"/>
        <v>1516.9352633123999</v>
      </c>
      <c r="I127" s="540">
        <f t="shared" si="54"/>
        <v>1516.9352633123999</v>
      </c>
      <c r="J127" s="476">
        <f t="shared" si="41"/>
        <v>0</v>
      </c>
      <c r="K127" s="476"/>
      <c r="L127" s="485"/>
      <c r="M127" s="476">
        <f t="shared" si="48"/>
        <v>0</v>
      </c>
      <c r="N127" s="485"/>
      <c r="O127" s="476">
        <f t="shared" si="49"/>
        <v>0</v>
      </c>
      <c r="P127" s="476">
        <f t="shared" si="50"/>
        <v>0</v>
      </c>
    </row>
    <row r="128" spans="2:16">
      <c r="B128" s="160" t="str">
        <f t="shared" si="40"/>
        <v/>
      </c>
      <c r="C128" s="470">
        <f>IF(D93="","-",+C127+1)</f>
        <v>2039</v>
      </c>
      <c r="D128" s="345">
        <f>IF(F127+SUM(E$101:E127)=D$92,F127,D$92-SUM(E$101:E127))</f>
        <v>8324.5</v>
      </c>
      <c r="E128" s="484">
        <f t="shared" si="55"/>
        <v>539</v>
      </c>
      <c r="F128" s="483">
        <f t="shared" si="51"/>
        <v>7785.5</v>
      </c>
      <c r="G128" s="483">
        <f t="shared" si="52"/>
        <v>8055</v>
      </c>
      <c r="H128" s="486">
        <f t="shared" si="53"/>
        <v>1455.6009478684409</v>
      </c>
      <c r="I128" s="540">
        <f t="shared" si="54"/>
        <v>1455.6009478684409</v>
      </c>
      <c r="J128" s="476">
        <f t="shared" si="41"/>
        <v>0</v>
      </c>
      <c r="K128" s="476"/>
      <c r="L128" s="485"/>
      <c r="M128" s="476">
        <f t="shared" si="48"/>
        <v>0</v>
      </c>
      <c r="N128" s="485"/>
      <c r="O128" s="476">
        <f t="shared" si="49"/>
        <v>0</v>
      </c>
      <c r="P128" s="476">
        <f t="shared" si="50"/>
        <v>0</v>
      </c>
    </row>
    <row r="129" spans="2:16">
      <c r="B129" s="160" t="str">
        <f t="shared" si="40"/>
        <v/>
      </c>
      <c r="C129" s="470">
        <f>IF(D93="","-",+C128+1)</f>
        <v>2040</v>
      </c>
      <c r="D129" s="345">
        <f>IF(F128+SUM(E$101:E128)=D$92,F128,D$92-SUM(E$101:E128))</f>
        <v>7785.5</v>
      </c>
      <c r="E129" s="484">
        <f t="shared" si="55"/>
        <v>539</v>
      </c>
      <c r="F129" s="483">
        <f t="shared" si="51"/>
        <v>7246.5</v>
      </c>
      <c r="G129" s="483">
        <f t="shared" si="52"/>
        <v>7516</v>
      </c>
      <c r="H129" s="486">
        <f t="shared" si="53"/>
        <v>1394.2666324244819</v>
      </c>
      <c r="I129" s="540">
        <f t="shared" si="54"/>
        <v>1394.2666324244819</v>
      </c>
      <c r="J129" s="476">
        <f t="shared" si="41"/>
        <v>0</v>
      </c>
      <c r="K129" s="476"/>
      <c r="L129" s="485"/>
      <c r="M129" s="476">
        <f t="shared" si="48"/>
        <v>0</v>
      </c>
      <c r="N129" s="485"/>
      <c r="O129" s="476">
        <f t="shared" si="49"/>
        <v>0</v>
      </c>
      <c r="P129" s="476">
        <f t="shared" si="50"/>
        <v>0</v>
      </c>
    </row>
    <row r="130" spans="2:16">
      <c r="B130" s="160" t="str">
        <f t="shared" si="40"/>
        <v/>
      </c>
      <c r="C130" s="470">
        <f>IF(D93="","-",+C129+1)</f>
        <v>2041</v>
      </c>
      <c r="D130" s="345">
        <f>IF(F129+SUM(E$101:E129)=D$92,F129,D$92-SUM(E$101:E129))</f>
        <v>7246.5</v>
      </c>
      <c r="E130" s="484">
        <f t="shared" si="55"/>
        <v>539</v>
      </c>
      <c r="F130" s="483">
        <f t="shared" si="51"/>
        <v>6707.5</v>
      </c>
      <c r="G130" s="483">
        <f t="shared" si="52"/>
        <v>6977</v>
      </c>
      <c r="H130" s="486">
        <f t="shared" si="53"/>
        <v>1332.932316980523</v>
      </c>
      <c r="I130" s="540">
        <f t="shared" si="54"/>
        <v>1332.932316980523</v>
      </c>
      <c r="J130" s="476">
        <f t="shared" si="41"/>
        <v>0</v>
      </c>
      <c r="K130" s="476"/>
      <c r="L130" s="485"/>
      <c r="M130" s="476">
        <f t="shared" si="48"/>
        <v>0</v>
      </c>
      <c r="N130" s="485"/>
      <c r="O130" s="476">
        <f t="shared" si="49"/>
        <v>0</v>
      </c>
      <c r="P130" s="476">
        <f t="shared" si="50"/>
        <v>0</v>
      </c>
    </row>
    <row r="131" spans="2:16">
      <c r="B131" s="160" t="str">
        <f t="shared" si="40"/>
        <v/>
      </c>
      <c r="C131" s="470">
        <f>IF(D93="","-",+C130+1)</f>
        <v>2042</v>
      </c>
      <c r="D131" s="345">
        <f>IF(F130+SUM(E$101:E130)=D$92,F130,D$92-SUM(E$101:E130))</f>
        <v>6707.5</v>
      </c>
      <c r="E131" s="484">
        <f t="shared" si="55"/>
        <v>539</v>
      </c>
      <c r="F131" s="483">
        <f t="shared" si="51"/>
        <v>6168.5</v>
      </c>
      <c r="G131" s="483">
        <f t="shared" si="52"/>
        <v>6438</v>
      </c>
      <c r="H131" s="486">
        <f t="shared" si="53"/>
        <v>1271.598001536564</v>
      </c>
      <c r="I131" s="540">
        <f t="shared" si="54"/>
        <v>1271.598001536564</v>
      </c>
      <c r="J131" s="476">
        <f t="shared" si="41"/>
        <v>0</v>
      </c>
      <c r="K131" s="476"/>
      <c r="L131" s="485"/>
      <c r="M131" s="476">
        <f t="shared" ref="M131:M154" si="56">IF(L541&lt;&gt;0,+H541-L541,0)</f>
        <v>0</v>
      </c>
      <c r="N131" s="485"/>
      <c r="O131" s="476">
        <f t="shared" si="49"/>
        <v>0</v>
      </c>
      <c r="P131" s="476">
        <f t="shared" si="50"/>
        <v>0</v>
      </c>
    </row>
    <row r="132" spans="2:16">
      <c r="B132" s="160" t="str">
        <f t="shared" si="40"/>
        <v/>
      </c>
      <c r="C132" s="470">
        <f>IF(D93="","-",+C131+1)</f>
        <v>2043</v>
      </c>
      <c r="D132" s="345">
        <f>IF(F131+SUM(E$101:E131)=D$92,F131,D$92-SUM(E$101:E131))</f>
        <v>6168.5</v>
      </c>
      <c r="E132" s="484">
        <f t="shared" si="55"/>
        <v>539</v>
      </c>
      <c r="F132" s="483">
        <f t="shared" si="51"/>
        <v>5629.5</v>
      </c>
      <c r="G132" s="483">
        <f t="shared" si="52"/>
        <v>5899</v>
      </c>
      <c r="H132" s="486">
        <f t="shared" si="53"/>
        <v>1210.263686092605</v>
      </c>
      <c r="I132" s="540">
        <f t="shared" si="54"/>
        <v>1210.263686092605</v>
      </c>
      <c r="J132" s="476">
        <f t="shared" si="41"/>
        <v>0</v>
      </c>
      <c r="K132" s="476"/>
      <c r="L132" s="485"/>
      <c r="M132" s="476">
        <f t="shared" si="56"/>
        <v>0</v>
      </c>
      <c r="N132" s="485"/>
      <c r="O132" s="476">
        <f t="shared" si="49"/>
        <v>0</v>
      </c>
      <c r="P132" s="476">
        <f t="shared" si="50"/>
        <v>0</v>
      </c>
    </row>
    <row r="133" spans="2:16">
      <c r="B133" s="160" t="str">
        <f t="shared" si="40"/>
        <v/>
      </c>
      <c r="C133" s="470">
        <f>IF(D93="","-",+C132+1)</f>
        <v>2044</v>
      </c>
      <c r="D133" s="345">
        <f>IF(F132+SUM(E$101:E132)=D$92,F132,D$92-SUM(E$101:E132))</f>
        <v>5629.5</v>
      </c>
      <c r="E133" s="484">
        <f t="shared" si="55"/>
        <v>539</v>
      </c>
      <c r="F133" s="483">
        <f t="shared" si="51"/>
        <v>5090.5</v>
      </c>
      <c r="G133" s="483">
        <f t="shared" ref="G133:G154" si="57">+(F133+D133)/2</f>
        <v>5360</v>
      </c>
      <c r="H133" s="486">
        <f t="shared" ref="H133:H154" si="58">+J$94*G133+E133</f>
        <v>1148.929370648646</v>
      </c>
      <c r="I133" s="540">
        <f t="shared" ref="I133:I154" si="59">+J$95*G133+E133</f>
        <v>1148.929370648646</v>
      </c>
      <c r="J133" s="476">
        <f t="shared" ref="J133:J154" si="60">+I541-H541</f>
        <v>0</v>
      </c>
      <c r="K133" s="476"/>
      <c r="L133" s="485"/>
      <c r="M133" s="476">
        <f t="shared" si="56"/>
        <v>0</v>
      </c>
      <c r="N133" s="485"/>
      <c r="O133" s="476">
        <f t="shared" si="49"/>
        <v>0</v>
      </c>
      <c r="P133" s="476">
        <f t="shared" si="50"/>
        <v>0</v>
      </c>
    </row>
    <row r="134" spans="2:16">
      <c r="B134" s="160" t="str">
        <f t="shared" ref="B134:B154" si="61">IF(D134=F133,"","IU")</f>
        <v/>
      </c>
      <c r="C134" s="470">
        <f>IF(D93="","-",+C133+1)</f>
        <v>2045</v>
      </c>
      <c r="D134" s="345">
        <f>IF(F133+SUM(E$101:E133)=D$92,F133,D$92-SUM(E$101:E133))</f>
        <v>5090.5</v>
      </c>
      <c r="E134" s="484">
        <f t="shared" si="55"/>
        <v>539</v>
      </c>
      <c r="F134" s="483">
        <f t="shared" ref="F134:F154" si="62">+D134-E134</f>
        <v>4551.5</v>
      </c>
      <c r="G134" s="483">
        <f t="shared" si="57"/>
        <v>4821</v>
      </c>
      <c r="H134" s="486">
        <f t="shared" si="58"/>
        <v>1087.595055204687</v>
      </c>
      <c r="I134" s="540">
        <f t="shared" si="59"/>
        <v>1087.595055204687</v>
      </c>
      <c r="J134" s="476">
        <f t="shared" si="60"/>
        <v>0</v>
      </c>
      <c r="K134" s="476"/>
      <c r="L134" s="485"/>
      <c r="M134" s="476">
        <f t="shared" si="56"/>
        <v>0</v>
      </c>
      <c r="N134" s="485"/>
      <c r="O134" s="476">
        <f t="shared" si="49"/>
        <v>0</v>
      </c>
      <c r="P134" s="476">
        <f t="shared" si="50"/>
        <v>0</v>
      </c>
    </row>
    <row r="135" spans="2:16">
      <c r="B135" s="160" t="str">
        <f t="shared" si="61"/>
        <v/>
      </c>
      <c r="C135" s="470">
        <f>IF(D93="","-",+C134+1)</f>
        <v>2046</v>
      </c>
      <c r="D135" s="345">
        <f>IF(F134+SUM(E$101:E134)=D$92,F134,D$92-SUM(E$101:E134))</f>
        <v>4551.5</v>
      </c>
      <c r="E135" s="484">
        <f t="shared" si="55"/>
        <v>539</v>
      </c>
      <c r="F135" s="483">
        <f t="shared" si="62"/>
        <v>4012.5</v>
      </c>
      <c r="G135" s="483">
        <f t="shared" si="57"/>
        <v>4282</v>
      </c>
      <c r="H135" s="486">
        <f t="shared" si="58"/>
        <v>1026.260739760728</v>
      </c>
      <c r="I135" s="540">
        <f t="shared" si="59"/>
        <v>1026.260739760728</v>
      </c>
      <c r="J135" s="476">
        <f t="shared" si="60"/>
        <v>0</v>
      </c>
      <c r="K135" s="476"/>
      <c r="L135" s="485"/>
      <c r="M135" s="476">
        <f t="shared" si="56"/>
        <v>0</v>
      </c>
      <c r="N135" s="485"/>
      <c r="O135" s="476">
        <f t="shared" si="49"/>
        <v>0</v>
      </c>
      <c r="P135" s="476">
        <f t="shared" si="50"/>
        <v>0</v>
      </c>
    </row>
    <row r="136" spans="2:16">
      <c r="B136" s="160" t="str">
        <f t="shared" si="61"/>
        <v/>
      </c>
      <c r="C136" s="470">
        <f>IF(D93="","-",+C135+1)</f>
        <v>2047</v>
      </c>
      <c r="D136" s="345">
        <f>IF(F135+SUM(E$101:E135)=D$92,F135,D$92-SUM(E$101:E135))</f>
        <v>4012.5</v>
      </c>
      <c r="E136" s="484">
        <f t="shared" si="55"/>
        <v>539</v>
      </c>
      <c r="F136" s="483">
        <f t="shared" si="62"/>
        <v>3473.5</v>
      </c>
      <c r="G136" s="483">
        <f t="shared" si="57"/>
        <v>3743</v>
      </c>
      <c r="H136" s="486">
        <f t="shared" si="58"/>
        <v>964.92642431676904</v>
      </c>
      <c r="I136" s="540">
        <f t="shared" si="59"/>
        <v>964.92642431676904</v>
      </c>
      <c r="J136" s="476">
        <f t="shared" si="60"/>
        <v>0</v>
      </c>
      <c r="K136" s="476"/>
      <c r="L136" s="485"/>
      <c r="M136" s="476">
        <f t="shared" si="56"/>
        <v>0</v>
      </c>
      <c r="N136" s="485"/>
      <c r="O136" s="476">
        <f t="shared" si="49"/>
        <v>0</v>
      </c>
      <c r="P136" s="476">
        <f t="shared" si="50"/>
        <v>0</v>
      </c>
    </row>
    <row r="137" spans="2:16">
      <c r="B137" s="160" t="str">
        <f t="shared" si="61"/>
        <v/>
      </c>
      <c r="C137" s="470">
        <f>IF(D93="","-",+C136+1)</f>
        <v>2048</v>
      </c>
      <c r="D137" s="345">
        <f>IF(F136+SUM(E$101:E136)=D$92,F136,D$92-SUM(E$101:E136))</f>
        <v>3473.5</v>
      </c>
      <c r="E137" s="484">
        <f t="shared" si="55"/>
        <v>539</v>
      </c>
      <c r="F137" s="483">
        <f t="shared" si="62"/>
        <v>2934.5</v>
      </c>
      <c r="G137" s="483">
        <f t="shared" si="57"/>
        <v>3204</v>
      </c>
      <c r="H137" s="486">
        <f t="shared" si="58"/>
        <v>903.59210887281006</v>
      </c>
      <c r="I137" s="540">
        <f t="shared" si="59"/>
        <v>903.59210887281006</v>
      </c>
      <c r="J137" s="476">
        <f t="shared" si="60"/>
        <v>0</v>
      </c>
      <c r="K137" s="476"/>
      <c r="L137" s="485"/>
      <c r="M137" s="476">
        <f t="shared" si="56"/>
        <v>0</v>
      </c>
      <c r="N137" s="485"/>
      <c r="O137" s="476">
        <f t="shared" si="49"/>
        <v>0</v>
      </c>
      <c r="P137" s="476">
        <f t="shared" si="50"/>
        <v>0</v>
      </c>
    </row>
    <row r="138" spans="2:16">
      <c r="B138" s="160" t="str">
        <f t="shared" si="61"/>
        <v/>
      </c>
      <c r="C138" s="470">
        <f>IF(D93="","-",+C137+1)</f>
        <v>2049</v>
      </c>
      <c r="D138" s="345">
        <f>IF(F137+SUM(E$101:E137)=D$92,F137,D$92-SUM(E$101:E137))</f>
        <v>2934.5</v>
      </c>
      <c r="E138" s="484">
        <f t="shared" si="55"/>
        <v>539</v>
      </c>
      <c r="F138" s="483">
        <f t="shared" si="62"/>
        <v>2395.5</v>
      </c>
      <c r="G138" s="483">
        <f t="shared" si="57"/>
        <v>2665</v>
      </c>
      <c r="H138" s="486">
        <f t="shared" si="58"/>
        <v>842.25779342885107</v>
      </c>
      <c r="I138" s="540">
        <f t="shared" si="59"/>
        <v>842.25779342885107</v>
      </c>
      <c r="J138" s="476">
        <f t="shared" si="60"/>
        <v>0</v>
      </c>
      <c r="K138" s="476"/>
      <c r="L138" s="485"/>
      <c r="M138" s="476">
        <f t="shared" si="56"/>
        <v>0</v>
      </c>
      <c r="N138" s="485"/>
      <c r="O138" s="476">
        <f t="shared" si="49"/>
        <v>0</v>
      </c>
      <c r="P138" s="476">
        <f t="shared" si="50"/>
        <v>0</v>
      </c>
    </row>
    <row r="139" spans="2:16">
      <c r="B139" s="160" t="str">
        <f t="shared" si="61"/>
        <v/>
      </c>
      <c r="C139" s="470">
        <f>IF(D93="","-",+C138+1)</f>
        <v>2050</v>
      </c>
      <c r="D139" s="345">
        <f>IF(F138+SUM(E$101:E138)=D$92,F138,D$92-SUM(E$101:E138))</f>
        <v>2395.5</v>
      </c>
      <c r="E139" s="484">
        <f t="shared" si="55"/>
        <v>539</v>
      </c>
      <c r="F139" s="483">
        <f t="shared" si="62"/>
        <v>1856.5</v>
      </c>
      <c r="G139" s="483">
        <f t="shared" si="57"/>
        <v>2126</v>
      </c>
      <c r="H139" s="486">
        <f t="shared" si="58"/>
        <v>780.92347798489209</v>
      </c>
      <c r="I139" s="540">
        <f t="shared" si="59"/>
        <v>780.92347798489209</v>
      </c>
      <c r="J139" s="476">
        <f t="shared" si="60"/>
        <v>0</v>
      </c>
      <c r="K139" s="476"/>
      <c r="L139" s="485"/>
      <c r="M139" s="476">
        <f t="shared" si="56"/>
        <v>0</v>
      </c>
      <c r="N139" s="485"/>
      <c r="O139" s="476">
        <f t="shared" si="49"/>
        <v>0</v>
      </c>
      <c r="P139" s="476">
        <f t="shared" si="50"/>
        <v>0</v>
      </c>
    </row>
    <row r="140" spans="2:16">
      <c r="B140" s="160" t="str">
        <f t="shared" si="61"/>
        <v/>
      </c>
      <c r="C140" s="470">
        <f>IF(D93="","-",+C139+1)</f>
        <v>2051</v>
      </c>
      <c r="D140" s="345">
        <f>IF(F139+SUM(E$101:E139)=D$92,F139,D$92-SUM(E$101:E139))</f>
        <v>1856.5</v>
      </c>
      <c r="E140" s="484">
        <f t="shared" si="55"/>
        <v>539</v>
      </c>
      <c r="F140" s="483">
        <f t="shared" si="62"/>
        <v>1317.5</v>
      </c>
      <c r="G140" s="483">
        <f t="shared" si="57"/>
        <v>1587</v>
      </c>
      <c r="H140" s="486">
        <f t="shared" si="58"/>
        <v>719.5891625409331</v>
      </c>
      <c r="I140" s="540">
        <f t="shared" si="59"/>
        <v>719.5891625409331</v>
      </c>
      <c r="J140" s="476">
        <f t="shared" si="60"/>
        <v>0</v>
      </c>
      <c r="K140" s="476"/>
      <c r="L140" s="485"/>
      <c r="M140" s="476">
        <f t="shared" si="56"/>
        <v>0</v>
      </c>
      <c r="N140" s="485"/>
      <c r="O140" s="476">
        <f t="shared" si="49"/>
        <v>0</v>
      </c>
      <c r="P140" s="476">
        <f t="shared" si="50"/>
        <v>0</v>
      </c>
    </row>
    <row r="141" spans="2:16">
      <c r="B141" s="160" t="str">
        <f t="shared" si="61"/>
        <v/>
      </c>
      <c r="C141" s="470">
        <f>IF(D93="","-",+C140+1)</f>
        <v>2052</v>
      </c>
      <c r="D141" s="345">
        <f>IF(F140+SUM(E$101:E140)=D$92,F140,D$92-SUM(E$101:E140))</f>
        <v>1317.5</v>
      </c>
      <c r="E141" s="484">
        <f t="shared" si="55"/>
        <v>539</v>
      </c>
      <c r="F141" s="483">
        <f t="shared" si="62"/>
        <v>778.5</v>
      </c>
      <c r="G141" s="483">
        <f t="shared" si="57"/>
        <v>1048</v>
      </c>
      <c r="H141" s="486">
        <f t="shared" si="58"/>
        <v>658.25484709697412</v>
      </c>
      <c r="I141" s="540">
        <f t="shared" si="59"/>
        <v>658.25484709697412</v>
      </c>
      <c r="J141" s="476">
        <f t="shared" si="60"/>
        <v>0</v>
      </c>
      <c r="K141" s="476"/>
      <c r="L141" s="485"/>
      <c r="M141" s="476">
        <f t="shared" si="56"/>
        <v>0</v>
      </c>
      <c r="N141" s="485"/>
      <c r="O141" s="476">
        <f t="shared" si="49"/>
        <v>0</v>
      </c>
      <c r="P141" s="476">
        <f t="shared" si="50"/>
        <v>0</v>
      </c>
    </row>
    <row r="142" spans="2:16">
      <c r="B142" s="160" t="str">
        <f t="shared" si="61"/>
        <v/>
      </c>
      <c r="C142" s="470">
        <f>IF(D93="","-",+C141+1)</f>
        <v>2053</v>
      </c>
      <c r="D142" s="345">
        <f>IF(F141+SUM(E$101:E141)=D$92,F141,D$92-SUM(E$101:E141))</f>
        <v>778.5</v>
      </c>
      <c r="E142" s="484">
        <f t="shared" si="55"/>
        <v>539</v>
      </c>
      <c r="F142" s="483">
        <f t="shared" si="62"/>
        <v>239.5</v>
      </c>
      <c r="G142" s="483">
        <f t="shared" si="57"/>
        <v>509</v>
      </c>
      <c r="H142" s="486">
        <f t="shared" si="58"/>
        <v>596.92053165301513</v>
      </c>
      <c r="I142" s="540">
        <f t="shared" si="59"/>
        <v>596.92053165301513</v>
      </c>
      <c r="J142" s="476">
        <f t="shared" si="60"/>
        <v>0</v>
      </c>
      <c r="K142" s="476"/>
      <c r="L142" s="485"/>
      <c r="M142" s="476">
        <f t="shared" si="56"/>
        <v>0</v>
      </c>
      <c r="N142" s="485"/>
      <c r="O142" s="476">
        <f t="shared" si="49"/>
        <v>0</v>
      </c>
      <c r="P142" s="476">
        <f t="shared" si="50"/>
        <v>0</v>
      </c>
    </row>
    <row r="143" spans="2:16">
      <c r="B143" s="160" t="str">
        <f t="shared" si="61"/>
        <v/>
      </c>
      <c r="C143" s="470">
        <f>IF(D93="","-",+C142+1)</f>
        <v>2054</v>
      </c>
      <c r="D143" s="345">
        <f>IF(F142+SUM(E$101:E142)=D$92,F142,D$92-SUM(E$101:E142))</f>
        <v>239.5</v>
      </c>
      <c r="E143" s="484">
        <f t="shared" si="55"/>
        <v>239.5</v>
      </c>
      <c r="F143" s="483">
        <f t="shared" si="62"/>
        <v>0</v>
      </c>
      <c r="G143" s="483">
        <f t="shared" si="57"/>
        <v>119.75</v>
      </c>
      <c r="H143" s="486">
        <f t="shared" si="58"/>
        <v>253.12668696551779</v>
      </c>
      <c r="I143" s="540">
        <f t="shared" si="59"/>
        <v>253.12668696551779</v>
      </c>
      <c r="J143" s="476">
        <f t="shared" si="60"/>
        <v>0</v>
      </c>
      <c r="K143" s="476"/>
      <c r="L143" s="485"/>
      <c r="M143" s="476">
        <f t="shared" si="56"/>
        <v>0</v>
      </c>
      <c r="N143" s="485"/>
      <c r="O143" s="476">
        <f t="shared" si="49"/>
        <v>0</v>
      </c>
      <c r="P143" s="476">
        <f t="shared" si="50"/>
        <v>0</v>
      </c>
    </row>
    <row r="144" spans="2:16">
      <c r="B144" s="160" t="str">
        <f t="shared" si="61"/>
        <v/>
      </c>
      <c r="C144" s="470">
        <f>IF(D93="","-",+C143+1)</f>
        <v>2055</v>
      </c>
      <c r="D144" s="345">
        <f>IF(F143+SUM(E$101:E143)=D$92,F143,D$92-SUM(E$101:E143))</f>
        <v>0</v>
      </c>
      <c r="E144" s="484">
        <f t="shared" si="55"/>
        <v>0</v>
      </c>
      <c r="F144" s="483">
        <f t="shared" si="62"/>
        <v>0</v>
      </c>
      <c r="G144" s="483">
        <f t="shared" si="57"/>
        <v>0</v>
      </c>
      <c r="H144" s="486">
        <f t="shared" si="58"/>
        <v>0</v>
      </c>
      <c r="I144" s="540">
        <f t="shared" si="59"/>
        <v>0</v>
      </c>
      <c r="J144" s="476">
        <f t="shared" si="60"/>
        <v>0</v>
      </c>
      <c r="K144" s="476"/>
      <c r="L144" s="485"/>
      <c r="M144" s="476">
        <f t="shared" si="56"/>
        <v>0</v>
      </c>
      <c r="N144" s="485"/>
      <c r="O144" s="476">
        <f t="shared" si="49"/>
        <v>0</v>
      </c>
      <c r="P144" s="476">
        <f t="shared" si="50"/>
        <v>0</v>
      </c>
    </row>
    <row r="145" spans="2:16">
      <c r="B145" s="160" t="str">
        <f t="shared" si="61"/>
        <v/>
      </c>
      <c r="C145" s="470">
        <f>IF(D93="","-",+C144+1)</f>
        <v>2056</v>
      </c>
      <c r="D145" s="345">
        <f>IF(F144+SUM(E$101:E144)=D$92,F144,D$92-SUM(E$101:E144))</f>
        <v>0</v>
      </c>
      <c r="E145" s="484">
        <f t="shared" si="55"/>
        <v>0</v>
      </c>
      <c r="F145" s="483">
        <f t="shared" si="62"/>
        <v>0</v>
      </c>
      <c r="G145" s="483">
        <f t="shared" si="57"/>
        <v>0</v>
      </c>
      <c r="H145" s="486">
        <f t="shared" si="58"/>
        <v>0</v>
      </c>
      <c r="I145" s="540">
        <f t="shared" si="59"/>
        <v>0</v>
      </c>
      <c r="J145" s="476">
        <f t="shared" si="60"/>
        <v>0</v>
      </c>
      <c r="K145" s="476"/>
      <c r="L145" s="485"/>
      <c r="M145" s="476">
        <f t="shared" si="56"/>
        <v>0</v>
      </c>
      <c r="N145" s="485"/>
      <c r="O145" s="476">
        <f t="shared" si="49"/>
        <v>0</v>
      </c>
      <c r="P145" s="476">
        <f t="shared" si="50"/>
        <v>0</v>
      </c>
    </row>
    <row r="146" spans="2:16">
      <c r="B146" s="160" t="str">
        <f t="shared" si="61"/>
        <v/>
      </c>
      <c r="C146" s="470">
        <f>IF(D93="","-",+C145+1)</f>
        <v>2057</v>
      </c>
      <c r="D146" s="345">
        <f>IF(F145+SUM(E$101:E145)=D$92,F145,D$92-SUM(E$101:E145))</f>
        <v>0</v>
      </c>
      <c r="E146" s="484">
        <f t="shared" si="55"/>
        <v>0</v>
      </c>
      <c r="F146" s="483">
        <f t="shared" si="62"/>
        <v>0</v>
      </c>
      <c r="G146" s="483">
        <f t="shared" si="57"/>
        <v>0</v>
      </c>
      <c r="H146" s="486">
        <f t="shared" si="58"/>
        <v>0</v>
      </c>
      <c r="I146" s="540">
        <f t="shared" si="59"/>
        <v>0</v>
      </c>
      <c r="J146" s="476">
        <f t="shared" si="60"/>
        <v>0</v>
      </c>
      <c r="K146" s="476"/>
      <c r="L146" s="485"/>
      <c r="M146" s="476">
        <f t="shared" si="56"/>
        <v>0</v>
      </c>
      <c r="N146" s="485"/>
      <c r="O146" s="476">
        <f t="shared" si="49"/>
        <v>0</v>
      </c>
      <c r="P146" s="476">
        <f t="shared" si="50"/>
        <v>0</v>
      </c>
    </row>
    <row r="147" spans="2:16">
      <c r="B147" s="160" t="str">
        <f t="shared" si="61"/>
        <v/>
      </c>
      <c r="C147" s="470">
        <f>IF(D93="","-",+C146+1)</f>
        <v>2058</v>
      </c>
      <c r="D147" s="345">
        <f>IF(F146+SUM(E$101:E146)=D$92,F146,D$92-SUM(E$101:E146))</f>
        <v>0</v>
      </c>
      <c r="E147" s="484">
        <f t="shared" si="55"/>
        <v>0</v>
      </c>
      <c r="F147" s="483">
        <f t="shared" si="62"/>
        <v>0</v>
      </c>
      <c r="G147" s="483">
        <f t="shared" si="57"/>
        <v>0</v>
      </c>
      <c r="H147" s="486">
        <f t="shared" si="58"/>
        <v>0</v>
      </c>
      <c r="I147" s="540">
        <f t="shared" si="59"/>
        <v>0</v>
      </c>
      <c r="J147" s="476">
        <f t="shared" si="60"/>
        <v>0</v>
      </c>
      <c r="K147" s="476"/>
      <c r="L147" s="485"/>
      <c r="M147" s="476">
        <f t="shared" si="56"/>
        <v>0</v>
      </c>
      <c r="N147" s="485"/>
      <c r="O147" s="476">
        <f t="shared" si="49"/>
        <v>0</v>
      </c>
      <c r="P147" s="476">
        <f t="shared" si="50"/>
        <v>0</v>
      </c>
    </row>
    <row r="148" spans="2:16">
      <c r="B148" s="160" t="str">
        <f t="shared" si="61"/>
        <v/>
      </c>
      <c r="C148" s="470">
        <f>IF(D93="","-",+C147+1)</f>
        <v>2059</v>
      </c>
      <c r="D148" s="345">
        <f>IF(F147+SUM(E$101:E147)=D$92,F147,D$92-SUM(E$101:E147))</f>
        <v>0</v>
      </c>
      <c r="E148" s="484">
        <f t="shared" si="55"/>
        <v>0</v>
      </c>
      <c r="F148" s="483">
        <f t="shared" si="62"/>
        <v>0</v>
      </c>
      <c r="G148" s="483">
        <f t="shared" si="57"/>
        <v>0</v>
      </c>
      <c r="H148" s="486">
        <f t="shared" si="58"/>
        <v>0</v>
      </c>
      <c r="I148" s="540">
        <f t="shared" si="59"/>
        <v>0</v>
      </c>
      <c r="J148" s="476">
        <f t="shared" si="60"/>
        <v>0</v>
      </c>
      <c r="K148" s="476"/>
      <c r="L148" s="485"/>
      <c r="M148" s="476">
        <f t="shared" si="56"/>
        <v>0</v>
      </c>
      <c r="N148" s="485"/>
      <c r="O148" s="476">
        <f t="shared" si="49"/>
        <v>0</v>
      </c>
      <c r="P148" s="476">
        <f t="shared" si="50"/>
        <v>0</v>
      </c>
    </row>
    <row r="149" spans="2:16">
      <c r="B149" s="160" t="str">
        <f t="shared" si="61"/>
        <v/>
      </c>
      <c r="C149" s="470">
        <f>IF(D93="","-",+C148+1)</f>
        <v>2060</v>
      </c>
      <c r="D149" s="345">
        <f>IF(F148+SUM(E$101:E148)=D$92,F148,D$92-SUM(E$101:E148))</f>
        <v>0</v>
      </c>
      <c r="E149" s="484">
        <f t="shared" si="55"/>
        <v>0</v>
      </c>
      <c r="F149" s="483">
        <f t="shared" si="62"/>
        <v>0</v>
      </c>
      <c r="G149" s="483">
        <f t="shared" si="57"/>
        <v>0</v>
      </c>
      <c r="H149" s="486">
        <f t="shared" si="58"/>
        <v>0</v>
      </c>
      <c r="I149" s="540">
        <f t="shared" si="59"/>
        <v>0</v>
      </c>
      <c r="J149" s="476">
        <f t="shared" si="60"/>
        <v>0</v>
      </c>
      <c r="K149" s="476"/>
      <c r="L149" s="485"/>
      <c r="M149" s="476">
        <f t="shared" si="56"/>
        <v>0</v>
      </c>
      <c r="N149" s="485"/>
      <c r="O149" s="476">
        <f t="shared" si="49"/>
        <v>0</v>
      </c>
      <c r="P149" s="476">
        <f t="shared" si="50"/>
        <v>0</v>
      </c>
    </row>
    <row r="150" spans="2:16">
      <c r="B150" s="160" t="str">
        <f t="shared" si="61"/>
        <v/>
      </c>
      <c r="C150" s="470">
        <f>IF(D93="","-",+C149+1)</f>
        <v>2061</v>
      </c>
      <c r="D150" s="345">
        <f>IF(F149+SUM(E$101:E149)=D$92,F149,D$92-SUM(E$101:E149))</f>
        <v>0</v>
      </c>
      <c r="E150" s="484">
        <f t="shared" si="55"/>
        <v>0</v>
      </c>
      <c r="F150" s="483">
        <f t="shared" si="62"/>
        <v>0</v>
      </c>
      <c r="G150" s="483">
        <f t="shared" si="57"/>
        <v>0</v>
      </c>
      <c r="H150" s="486">
        <f t="shared" si="58"/>
        <v>0</v>
      </c>
      <c r="I150" s="540">
        <f t="shared" si="59"/>
        <v>0</v>
      </c>
      <c r="J150" s="476">
        <f t="shared" si="60"/>
        <v>0</v>
      </c>
      <c r="K150" s="476"/>
      <c r="L150" s="485"/>
      <c r="M150" s="476">
        <f t="shared" si="56"/>
        <v>0</v>
      </c>
      <c r="N150" s="485"/>
      <c r="O150" s="476">
        <f t="shared" si="49"/>
        <v>0</v>
      </c>
      <c r="P150" s="476">
        <f t="shared" si="50"/>
        <v>0</v>
      </c>
    </row>
    <row r="151" spans="2:16">
      <c r="B151" s="160" t="str">
        <f t="shared" si="61"/>
        <v/>
      </c>
      <c r="C151" s="470">
        <f>IF(D93="","-",+C150+1)</f>
        <v>2062</v>
      </c>
      <c r="D151" s="345">
        <f>IF(F150+SUM(E$101:E150)=D$92,F150,D$92-SUM(E$101:E150))</f>
        <v>0</v>
      </c>
      <c r="E151" s="484">
        <f t="shared" si="55"/>
        <v>0</v>
      </c>
      <c r="F151" s="483">
        <f t="shared" si="62"/>
        <v>0</v>
      </c>
      <c r="G151" s="483">
        <f t="shared" si="57"/>
        <v>0</v>
      </c>
      <c r="H151" s="486">
        <f t="shared" si="58"/>
        <v>0</v>
      </c>
      <c r="I151" s="540">
        <f t="shared" si="59"/>
        <v>0</v>
      </c>
      <c r="J151" s="476">
        <f t="shared" si="60"/>
        <v>0</v>
      </c>
      <c r="K151" s="476"/>
      <c r="L151" s="485"/>
      <c r="M151" s="476">
        <f t="shared" si="56"/>
        <v>0</v>
      </c>
      <c r="N151" s="485"/>
      <c r="O151" s="476">
        <f t="shared" si="49"/>
        <v>0</v>
      </c>
      <c r="P151" s="476">
        <f t="shared" si="50"/>
        <v>0</v>
      </c>
    </row>
    <row r="152" spans="2:16">
      <c r="B152" s="160" t="str">
        <f t="shared" si="61"/>
        <v/>
      </c>
      <c r="C152" s="470">
        <f>IF(D93="","-",+C151+1)</f>
        <v>2063</v>
      </c>
      <c r="D152" s="345">
        <f>IF(F151+SUM(E$101:E151)=D$92,F151,D$92-SUM(E$101:E151))</f>
        <v>0</v>
      </c>
      <c r="E152" s="484">
        <f t="shared" si="55"/>
        <v>0</v>
      </c>
      <c r="F152" s="483">
        <f t="shared" si="62"/>
        <v>0</v>
      </c>
      <c r="G152" s="483">
        <f t="shared" si="57"/>
        <v>0</v>
      </c>
      <c r="H152" s="486">
        <f t="shared" si="58"/>
        <v>0</v>
      </c>
      <c r="I152" s="540">
        <f t="shared" si="59"/>
        <v>0</v>
      </c>
      <c r="J152" s="476">
        <f t="shared" si="60"/>
        <v>0</v>
      </c>
      <c r="K152" s="476"/>
      <c r="L152" s="485"/>
      <c r="M152" s="476">
        <f t="shared" si="56"/>
        <v>0</v>
      </c>
      <c r="N152" s="485"/>
      <c r="O152" s="476">
        <f t="shared" si="49"/>
        <v>0</v>
      </c>
      <c r="P152" s="476">
        <f t="shared" si="50"/>
        <v>0</v>
      </c>
    </row>
    <row r="153" spans="2:16">
      <c r="B153" s="160" t="str">
        <f t="shared" si="61"/>
        <v/>
      </c>
      <c r="C153" s="470">
        <f>IF(D93="","-",+C152+1)</f>
        <v>2064</v>
      </c>
      <c r="D153" s="345">
        <f>IF(F152+SUM(E$101:E152)=D$92,F152,D$92-SUM(E$101:E152))</f>
        <v>0</v>
      </c>
      <c r="E153" s="484">
        <f t="shared" si="55"/>
        <v>0</v>
      </c>
      <c r="F153" s="483">
        <f t="shared" si="62"/>
        <v>0</v>
      </c>
      <c r="G153" s="483">
        <f t="shared" si="57"/>
        <v>0</v>
      </c>
      <c r="H153" s="486">
        <f t="shared" si="58"/>
        <v>0</v>
      </c>
      <c r="I153" s="540">
        <f t="shared" si="59"/>
        <v>0</v>
      </c>
      <c r="J153" s="476">
        <f t="shared" si="60"/>
        <v>0</v>
      </c>
      <c r="K153" s="476"/>
      <c r="L153" s="485"/>
      <c r="M153" s="476">
        <f t="shared" si="56"/>
        <v>0</v>
      </c>
      <c r="N153" s="485"/>
      <c r="O153" s="476">
        <f t="shared" si="49"/>
        <v>0</v>
      </c>
      <c r="P153" s="476">
        <f t="shared" si="50"/>
        <v>0</v>
      </c>
    </row>
    <row r="154" spans="2:16" ht="13.5" thickBot="1">
      <c r="B154" s="160" t="str">
        <f t="shared" si="61"/>
        <v/>
      </c>
      <c r="C154" s="487">
        <f>IF(D93="","-",+C153+1)</f>
        <v>2065</v>
      </c>
      <c r="D154" s="541">
        <f>IF(F153+SUM(E$101:E153)=D$92,F153,D$92-SUM(E$101:E153))</f>
        <v>0</v>
      </c>
      <c r="E154" s="542">
        <f t="shared" si="55"/>
        <v>0</v>
      </c>
      <c r="F154" s="488">
        <f t="shared" si="62"/>
        <v>0</v>
      </c>
      <c r="G154" s="488">
        <f t="shared" si="57"/>
        <v>0</v>
      </c>
      <c r="H154" s="490">
        <f t="shared" si="58"/>
        <v>0</v>
      </c>
      <c r="I154" s="543">
        <f t="shared" si="59"/>
        <v>0</v>
      </c>
      <c r="J154" s="493">
        <f t="shared" si="60"/>
        <v>0</v>
      </c>
      <c r="K154" s="476"/>
      <c r="L154" s="492"/>
      <c r="M154" s="493">
        <f t="shared" si="56"/>
        <v>0</v>
      </c>
      <c r="N154" s="492"/>
      <c r="O154" s="476">
        <f t="shared" si="49"/>
        <v>0</v>
      </c>
      <c r="P154" s="476">
        <f t="shared" si="50"/>
        <v>0</v>
      </c>
    </row>
    <row r="155" spans="2:16">
      <c r="C155" s="345" t="s">
        <v>77</v>
      </c>
      <c r="D155" s="346"/>
      <c r="E155" s="346">
        <f>SUM(E101:E154)</f>
        <v>22097</v>
      </c>
      <c r="F155" s="346"/>
      <c r="G155" s="346"/>
      <c r="H155" s="346">
        <f>SUM(H101:H154)</f>
        <v>79598.738207541683</v>
      </c>
      <c r="I155" s="346">
        <f>SUM(I101:I154)</f>
        <v>79598.738207541683</v>
      </c>
      <c r="J155" s="346">
        <f>SUM(J101:J154)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45" priority="3" stopIfTrue="1" operator="equal">
      <formula>$I$10</formula>
    </cfRule>
  </conditionalFormatting>
  <conditionalFormatting sqref="C102:C152">
    <cfRule type="cellIs" dxfId="44" priority="4" stopIfTrue="1" operator="equal">
      <formula>$J$92</formula>
    </cfRule>
  </conditionalFormatting>
  <conditionalFormatting sqref="C153:C154">
    <cfRule type="cellIs" dxfId="43" priority="2" stopIfTrue="1" operator="equal">
      <formula>$J$92</formula>
    </cfRule>
  </conditionalFormatting>
  <conditionalFormatting sqref="C100:C101">
    <cfRule type="cellIs" dxfId="42" priority="1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9"/>
  <dimension ref="A1:P162"/>
  <sheetViews>
    <sheetView topLeftCell="A90" zoomScaleNormal="100" zoomScaleSheetLayoutView="75" workbookViewId="0">
      <selection activeCell="V52" sqref="V5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14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104676.36842105263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104676.36842105263</v>
      </c>
      <c r="O6" s="231"/>
      <c r="P6" s="231"/>
    </row>
    <row r="7" spans="1:16" ht="13.5" thickBot="1">
      <c r="C7" s="429" t="s">
        <v>46</v>
      </c>
      <c r="D7" s="597" t="s">
        <v>242</v>
      </c>
      <c r="E7" s="598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570" t="s">
        <v>241</v>
      </c>
      <c r="E9" s="575" t="s">
        <v>292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1035552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2013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2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27251.36842105263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8" t="s">
        <v>105</v>
      </c>
      <c r="O16" s="467" t="s">
        <v>105</v>
      </c>
      <c r="P16" s="241"/>
    </row>
    <row r="17" spans="2:16">
      <c r="B17" s="160"/>
      <c r="C17" s="470">
        <f>IF(D11= "","-",D11)</f>
        <v>2013</v>
      </c>
      <c r="D17" s="579">
        <v>5562500</v>
      </c>
      <c r="E17" s="599">
        <v>89142.628205128203</v>
      </c>
      <c r="F17" s="579">
        <v>5473357.371794872</v>
      </c>
      <c r="G17" s="599">
        <v>870775.06277038739</v>
      </c>
      <c r="H17" s="600">
        <v>870775.06277038739</v>
      </c>
      <c r="I17" s="473">
        <v>0</v>
      </c>
      <c r="J17" s="347"/>
      <c r="K17" s="552">
        <f t="shared" ref="K17:K22" si="0">G17</f>
        <v>870775.06277038739</v>
      </c>
      <c r="L17" s="601">
        <f t="shared" ref="L17:L22" si="1">IF(K17&lt;&gt;0,+G17-K17,0)</f>
        <v>0</v>
      </c>
      <c r="M17" s="552">
        <f t="shared" ref="M17:M22" si="2">H17</f>
        <v>870775.06277038739</v>
      </c>
      <c r="N17" s="475">
        <f t="shared" ref="N17:N22" si="3">IF(M17&lt;&gt;0,+H17-M17,0)</f>
        <v>0</v>
      </c>
      <c r="O17" s="473">
        <f t="shared" ref="O17:O22" si="4">+N17-L17</f>
        <v>0</v>
      </c>
      <c r="P17" s="241"/>
    </row>
    <row r="18" spans="2:16">
      <c r="B18" s="160" t="str">
        <f>IF(D18=F17,"","IU")</f>
        <v>IU</v>
      </c>
      <c r="C18" s="470">
        <f>IF(D11="","-",+C17+1)</f>
        <v>2014</v>
      </c>
      <c r="D18" s="584">
        <v>5473357</v>
      </c>
      <c r="E18" s="583">
        <v>19910</v>
      </c>
      <c r="F18" s="584">
        <v>5453447</v>
      </c>
      <c r="G18" s="583">
        <v>770625</v>
      </c>
      <c r="H18" s="585">
        <v>770625</v>
      </c>
      <c r="I18" s="473">
        <f>H18-G18</f>
        <v>0</v>
      </c>
      <c r="J18" s="347"/>
      <c r="K18" s="474">
        <f t="shared" si="0"/>
        <v>770625</v>
      </c>
      <c r="L18" s="601">
        <f t="shared" si="1"/>
        <v>0</v>
      </c>
      <c r="M18" s="474">
        <f t="shared" si="2"/>
        <v>770625</v>
      </c>
      <c r="N18" s="476">
        <f t="shared" si="3"/>
        <v>0</v>
      </c>
      <c r="O18" s="473">
        <f t="shared" si="4"/>
        <v>0</v>
      </c>
      <c r="P18" s="241"/>
    </row>
    <row r="19" spans="2:16">
      <c r="B19" s="160" t="str">
        <f>IF(D19=F18,"","IU")</f>
        <v/>
      </c>
      <c r="C19" s="470">
        <f>IF(D11="","-",+C18+1)</f>
        <v>2015</v>
      </c>
      <c r="D19" s="584">
        <v>5453447</v>
      </c>
      <c r="E19" s="583">
        <f t="shared" ref="E19:E72" si="5">IF(+$I$14&lt;F18,$I$14,D19)</f>
        <v>27251.36842105263</v>
      </c>
      <c r="F19" s="584">
        <v>5433533</v>
      </c>
      <c r="G19" s="583">
        <v>769045</v>
      </c>
      <c r="H19" s="585">
        <v>769045</v>
      </c>
      <c r="I19" s="473">
        <f t="shared" ref="I19:I72" si="6">H19-G19</f>
        <v>0</v>
      </c>
      <c r="J19" s="347"/>
      <c r="K19" s="474">
        <f t="shared" si="0"/>
        <v>769045</v>
      </c>
      <c r="L19" s="601">
        <f t="shared" si="1"/>
        <v>0</v>
      </c>
      <c r="M19" s="474">
        <f t="shared" si="2"/>
        <v>769045</v>
      </c>
      <c r="N19" s="476">
        <f t="shared" si="3"/>
        <v>0</v>
      </c>
      <c r="O19" s="473">
        <f t="shared" si="4"/>
        <v>0</v>
      </c>
      <c r="P19" s="241"/>
    </row>
    <row r="20" spans="2:16">
      <c r="B20" s="160" t="str">
        <f t="shared" ref="B20:B72" si="7">IF(D20=F19,"","IU")</f>
        <v>IU</v>
      </c>
      <c r="C20" s="470">
        <f>IF(D11="","-",+C19+1)</f>
        <v>2016</v>
      </c>
      <c r="D20" s="584">
        <v>906584.91025641025</v>
      </c>
      <c r="E20" s="583">
        <v>19914.461538461539</v>
      </c>
      <c r="F20" s="584">
        <v>886670.44871794875</v>
      </c>
      <c r="G20" s="583">
        <v>136209.46153846153</v>
      </c>
      <c r="H20" s="585">
        <v>136209.46153846153</v>
      </c>
      <c r="I20" s="473">
        <f t="shared" si="6"/>
        <v>0</v>
      </c>
      <c r="J20" s="347"/>
      <c r="K20" s="474">
        <f t="shared" si="0"/>
        <v>136209.46153846153</v>
      </c>
      <c r="L20" s="601">
        <f t="shared" si="1"/>
        <v>0</v>
      </c>
      <c r="M20" s="474">
        <f t="shared" si="2"/>
        <v>136209.46153846153</v>
      </c>
      <c r="N20" s="476">
        <f t="shared" si="3"/>
        <v>0</v>
      </c>
      <c r="O20" s="473">
        <f t="shared" si="4"/>
        <v>0</v>
      </c>
      <c r="P20" s="241"/>
    </row>
    <row r="21" spans="2:16">
      <c r="B21" s="160" t="str">
        <f t="shared" si="7"/>
        <v>IU</v>
      </c>
      <c r="C21" s="470">
        <f>IF(D11="","-",+C20+1)</f>
        <v>2017</v>
      </c>
      <c r="D21" s="584">
        <v>884072.91025641025</v>
      </c>
      <c r="E21" s="583">
        <v>22512</v>
      </c>
      <c r="F21" s="584">
        <v>861560.91025641025</v>
      </c>
      <c r="G21" s="583">
        <v>132155</v>
      </c>
      <c r="H21" s="585">
        <v>132155</v>
      </c>
      <c r="I21" s="473">
        <f t="shared" si="6"/>
        <v>0</v>
      </c>
      <c r="J21" s="347"/>
      <c r="K21" s="474">
        <f t="shared" si="0"/>
        <v>132155</v>
      </c>
      <c r="L21" s="601">
        <f t="shared" si="1"/>
        <v>0</v>
      </c>
      <c r="M21" s="474">
        <f t="shared" si="2"/>
        <v>132155</v>
      </c>
      <c r="N21" s="476">
        <f t="shared" si="3"/>
        <v>0</v>
      </c>
      <c r="O21" s="473">
        <f t="shared" si="4"/>
        <v>0</v>
      </c>
      <c r="P21" s="241"/>
    </row>
    <row r="22" spans="2:16">
      <c r="B22" s="160" t="str">
        <f t="shared" si="7"/>
        <v>IU</v>
      </c>
      <c r="C22" s="470">
        <f>IF(D11="","-",+C21+1)</f>
        <v>2018</v>
      </c>
      <c r="D22" s="584">
        <v>861060.64358974365</v>
      </c>
      <c r="E22" s="583">
        <v>23012.266666666666</v>
      </c>
      <c r="F22" s="584">
        <v>838048.37692307692</v>
      </c>
      <c r="G22" s="583">
        <v>124754.01488848326</v>
      </c>
      <c r="H22" s="585">
        <v>124754.01488848326</v>
      </c>
      <c r="I22" s="473">
        <f t="shared" si="6"/>
        <v>0</v>
      </c>
      <c r="J22" s="347"/>
      <c r="K22" s="474">
        <f t="shared" si="0"/>
        <v>124754.01488848326</v>
      </c>
      <c r="L22" s="601">
        <f t="shared" si="1"/>
        <v>0</v>
      </c>
      <c r="M22" s="474">
        <f t="shared" si="2"/>
        <v>124754.01488848326</v>
      </c>
      <c r="N22" s="476">
        <f t="shared" si="3"/>
        <v>0</v>
      </c>
      <c r="O22" s="473">
        <f t="shared" si="4"/>
        <v>0</v>
      </c>
      <c r="P22" s="241"/>
    </row>
    <row r="23" spans="2:16">
      <c r="B23" s="160" t="str">
        <f t="shared" si="7"/>
        <v>IU</v>
      </c>
      <c r="C23" s="470">
        <f>IF(D11="","-",+C22+1)</f>
        <v>2019</v>
      </c>
      <c r="D23" s="584">
        <v>835171.8435897436</v>
      </c>
      <c r="E23" s="583">
        <v>25888.799999999999</v>
      </c>
      <c r="F23" s="584">
        <v>809283.04358974355</v>
      </c>
      <c r="G23" s="583">
        <v>117695.9465116283</v>
      </c>
      <c r="H23" s="585">
        <v>117695.9465116283</v>
      </c>
      <c r="I23" s="473">
        <f t="shared" si="6"/>
        <v>0</v>
      </c>
      <c r="J23" s="473"/>
      <c r="K23" s="474">
        <f t="shared" ref="K23" si="8">G23</f>
        <v>117695.9465116283</v>
      </c>
      <c r="L23" s="601">
        <f t="shared" ref="L23" si="9">IF(K23&lt;&gt;0,+G23-K23,0)</f>
        <v>0</v>
      </c>
      <c r="M23" s="474">
        <f t="shared" ref="M23" si="10">H23</f>
        <v>117695.9465116283</v>
      </c>
      <c r="N23" s="476">
        <f t="shared" ref="N23:N72" si="11">IF(M23&lt;&gt;0,+H23-M23,0)</f>
        <v>0</v>
      </c>
      <c r="O23" s="476">
        <f t="shared" ref="O23:O72" si="12">+N23-L23</f>
        <v>0</v>
      </c>
      <c r="P23" s="241"/>
    </row>
    <row r="24" spans="2:16">
      <c r="B24" s="160" t="str">
        <f t="shared" si="7"/>
        <v>IU</v>
      </c>
      <c r="C24" s="470">
        <f>IF(D11="","-",+C23+1)</f>
        <v>2020</v>
      </c>
      <c r="D24" s="584">
        <v>815036.1102564102</v>
      </c>
      <c r="E24" s="583">
        <v>24656</v>
      </c>
      <c r="F24" s="584">
        <v>790380.1102564102</v>
      </c>
      <c r="G24" s="583">
        <v>111352.31037205369</v>
      </c>
      <c r="H24" s="585">
        <v>111352.31037205369</v>
      </c>
      <c r="I24" s="473">
        <f t="shared" si="6"/>
        <v>0</v>
      </c>
      <c r="J24" s="473"/>
      <c r="K24" s="474">
        <f t="shared" ref="K24" si="13">G24</f>
        <v>111352.31037205369</v>
      </c>
      <c r="L24" s="601">
        <f t="shared" ref="L24" si="14">IF(K24&lt;&gt;0,+G24-K24,0)</f>
        <v>0</v>
      </c>
      <c r="M24" s="474">
        <f t="shared" ref="M24" si="15">H24</f>
        <v>111352.31037205369</v>
      </c>
      <c r="N24" s="476">
        <f t="shared" si="11"/>
        <v>0</v>
      </c>
      <c r="O24" s="476">
        <f t="shared" si="12"/>
        <v>0</v>
      </c>
      <c r="P24" s="241"/>
    </row>
    <row r="25" spans="2:16">
      <c r="B25" s="160" t="str">
        <f t="shared" si="7"/>
        <v>IU</v>
      </c>
      <c r="C25" s="470">
        <f>IF(D11="","-",+C24+1)</f>
        <v>2021</v>
      </c>
      <c r="D25" s="584">
        <v>786433.23893858085</v>
      </c>
      <c r="E25" s="583">
        <v>24082.60465116279</v>
      </c>
      <c r="F25" s="584">
        <v>762350.6342874181</v>
      </c>
      <c r="G25" s="583">
        <v>106280.60465116279</v>
      </c>
      <c r="H25" s="585">
        <v>106280.60465116279</v>
      </c>
      <c r="I25" s="473">
        <f t="shared" si="6"/>
        <v>0</v>
      </c>
      <c r="J25" s="473"/>
      <c r="K25" s="474">
        <f t="shared" ref="K25" si="16">G25</f>
        <v>106280.60465116279</v>
      </c>
      <c r="L25" s="601">
        <f t="shared" ref="L25" si="17">IF(K25&lt;&gt;0,+G25-K25,0)</f>
        <v>0</v>
      </c>
      <c r="M25" s="474">
        <f t="shared" ref="M25" si="18">H25</f>
        <v>106280.60465116279</v>
      </c>
      <c r="N25" s="476">
        <f t="shared" si="11"/>
        <v>0</v>
      </c>
      <c r="O25" s="476">
        <f t="shared" si="12"/>
        <v>0</v>
      </c>
      <c r="P25" s="241"/>
    </row>
    <row r="26" spans="2:16">
      <c r="B26" s="160" t="str">
        <f t="shared" si="7"/>
        <v>IU</v>
      </c>
      <c r="C26" s="470">
        <f>IF(D11="","-",+C25+1)</f>
        <v>2022</v>
      </c>
      <c r="D26" s="584">
        <v>761777.23893858085</v>
      </c>
      <c r="E26" s="583">
        <v>24656</v>
      </c>
      <c r="F26" s="584">
        <v>737121.23893858085</v>
      </c>
      <c r="G26" s="583">
        <v>104126</v>
      </c>
      <c r="H26" s="585">
        <v>104126</v>
      </c>
      <c r="I26" s="473">
        <f t="shared" si="6"/>
        <v>0</v>
      </c>
      <c r="J26" s="473"/>
      <c r="K26" s="474">
        <f t="shared" ref="K26" si="19">G26</f>
        <v>104126</v>
      </c>
      <c r="L26" s="601">
        <f t="shared" ref="L26" si="20">IF(K26&lt;&gt;0,+G26-K26,0)</f>
        <v>0</v>
      </c>
      <c r="M26" s="474">
        <f t="shared" ref="M26" si="21">H26</f>
        <v>104126</v>
      </c>
      <c r="N26" s="476">
        <f t="shared" si="11"/>
        <v>0</v>
      </c>
      <c r="O26" s="476">
        <f t="shared" si="12"/>
        <v>0</v>
      </c>
      <c r="P26" s="241"/>
    </row>
    <row r="27" spans="2:16">
      <c r="B27" s="160" t="str">
        <f t="shared" si="7"/>
        <v>IU</v>
      </c>
      <c r="C27" s="470">
        <f>IF(D11="","-",+C26+1)</f>
        <v>2023</v>
      </c>
      <c r="D27" s="584">
        <v>735224.62355396547</v>
      </c>
      <c r="E27" s="583">
        <v>26552.615384615383</v>
      </c>
      <c r="F27" s="584">
        <v>708672.0081693501</v>
      </c>
      <c r="G27" s="583">
        <v>111138.61538461538</v>
      </c>
      <c r="H27" s="585">
        <v>111138.61538461538</v>
      </c>
      <c r="I27" s="473">
        <f t="shared" si="6"/>
        <v>0</v>
      </c>
      <c r="J27" s="473"/>
      <c r="K27" s="474">
        <f t="shared" ref="K27" si="22">G27</f>
        <v>111138.61538461538</v>
      </c>
      <c r="L27" s="601">
        <f t="shared" ref="L27" si="23">IF(K27&lt;&gt;0,+G27-K27,0)</f>
        <v>0</v>
      </c>
      <c r="M27" s="474">
        <f t="shared" ref="M27" si="24">H27</f>
        <v>111138.61538461538</v>
      </c>
      <c r="N27" s="476">
        <f t="shared" ref="N27" si="25">IF(M27&lt;&gt;0,+H27-M27,0)</f>
        <v>0</v>
      </c>
      <c r="O27" s="476">
        <f t="shared" ref="O27" si="26">+N27-L27</f>
        <v>0</v>
      </c>
      <c r="P27" s="241"/>
    </row>
    <row r="28" spans="2:16">
      <c r="B28" s="160" t="str">
        <f t="shared" si="7"/>
        <v>IU</v>
      </c>
      <c r="C28" s="631">
        <f>IF(D11="","-",+C27+1)</f>
        <v>2024</v>
      </c>
      <c r="D28" s="483">
        <f>IF(F27+SUM(E$17:E27)=D$10,F27,D$10-SUM(E$17:E27))</f>
        <v>707973.25513291289</v>
      </c>
      <c r="E28" s="482">
        <f t="shared" si="5"/>
        <v>27251.36842105263</v>
      </c>
      <c r="F28" s="483">
        <f t="shared" ref="F28:F72" si="27">+D28-E28</f>
        <v>680721.88671186031</v>
      </c>
      <c r="G28" s="484">
        <f t="shared" ref="G28:G72" si="28">ROUND(I$12*F28,0)+E28</f>
        <v>104676.36842105263</v>
      </c>
      <c r="H28" s="453">
        <f t="shared" ref="H28:H72" si="29">ROUND(I$13*F28,0)+E28</f>
        <v>104676.36842105263</v>
      </c>
      <c r="I28" s="473">
        <f t="shared" si="6"/>
        <v>0</v>
      </c>
      <c r="J28" s="473"/>
      <c r="K28" s="485"/>
      <c r="L28" s="476">
        <f t="shared" ref="L28:L72" si="30">IF(K28&lt;&gt;0,+G28-K28,0)</f>
        <v>0</v>
      </c>
      <c r="M28" s="485"/>
      <c r="N28" s="476">
        <f t="shared" si="11"/>
        <v>0</v>
      </c>
      <c r="O28" s="476">
        <f t="shared" si="12"/>
        <v>0</v>
      </c>
      <c r="P28" s="241"/>
    </row>
    <row r="29" spans="2:16">
      <c r="B29" s="160" t="str">
        <f t="shared" si="7"/>
        <v/>
      </c>
      <c r="C29" s="470">
        <f>IF(D11="","-",+C28+1)</f>
        <v>2025</v>
      </c>
      <c r="D29" s="483">
        <f>IF(F28+SUM(E$17:E28)=D$10,F28,D$10-SUM(E$17:E28))</f>
        <v>680721.88671186031</v>
      </c>
      <c r="E29" s="482">
        <f t="shared" si="5"/>
        <v>27251.36842105263</v>
      </c>
      <c r="F29" s="483">
        <f t="shared" si="27"/>
        <v>653470.51829080773</v>
      </c>
      <c r="G29" s="484">
        <f t="shared" si="28"/>
        <v>101577.36842105263</v>
      </c>
      <c r="H29" s="453">
        <f t="shared" si="29"/>
        <v>101577.36842105263</v>
      </c>
      <c r="I29" s="473">
        <f t="shared" si="6"/>
        <v>0</v>
      </c>
      <c r="J29" s="473"/>
      <c r="K29" s="485"/>
      <c r="L29" s="476">
        <f t="shared" si="30"/>
        <v>0</v>
      </c>
      <c r="M29" s="485"/>
      <c r="N29" s="476">
        <f t="shared" si="11"/>
        <v>0</v>
      </c>
      <c r="O29" s="476">
        <f t="shared" si="12"/>
        <v>0</v>
      </c>
      <c r="P29" s="241"/>
    </row>
    <row r="30" spans="2:16">
      <c r="B30" s="160" t="str">
        <f t="shared" si="7"/>
        <v/>
      </c>
      <c r="C30" s="470">
        <f>IF(D11="","-",+C29+1)</f>
        <v>2026</v>
      </c>
      <c r="D30" s="483">
        <f>IF(F29+SUM(E$17:E29)=D$10,F29,D$10-SUM(E$17:E29))</f>
        <v>653470.51829080773</v>
      </c>
      <c r="E30" s="482">
        <f t="shared" si="5"/>
        <v>27251.36842105263</v>
      </c>
      <c r="F30" s="483">
        <f t="shared" si="27"/>
        <v>626219.14986975514</v>
      </c>
      <c r="G30" s="484">
        <f t="shared" si="28"/>
        <v>98477.368421052626</v>
      </c>
      <c r="H30" s="453">
        <f t="shared" si="29"/>
        <v>98477.368421052626</v>
      </c>
      <c r="I30" s="473">
        <f t="shared" si="6"/>
        <v>0</v>
      </c>
      <c r="J30" s="473"/>
      <c r="K30" s="485"/>
      <c r="L30" s="476">
        <f t="shared" si="30"/>
        <v>0</v>
      </c>
      <c r="M30" s="485"/>
      <c r="N30" s="476">
        <f t="shared" si="11"/>
        <v>0</v>
      </c>
      <c r="O30" s="476">
        <f t="shared" si="12"/>
        <v>0</v>
      </c>
      <c r="P30" s="241"/>
    </row>
    <row r="31" spans="2:16">
      <c r="B31" s="160" t="str">
        <f t="shared" si="7"/>
        <v/>
      </c>
      <c r="C31" s="470">
        <f>IF(D11="","-",+C30+1)</f>
        <v>2027</v>
      </c>
      <c r="D31" s="483">
        <f>IF(F30+SUM(E$17:E30)=D$10,F30,D$10-SUM(E$17:E30))</f>
        <v>626219.14986975514</v>
      </c>
      <c r="E31" s="482">
        <f t="shared" si="5"/>
        <v>27251.36842105263</v>
      </c>
      <c r="F31" s="483">
        <f t="shared" si="27"/>
        <v>598967.78144870256</v>
      </c>
      <c r="G31" s="484">
        <f t="shared" si="28"/>
        <v>95378.368421052626</v>
      </c>
      <c r="H31" s="453">
        <f t="shared" si="29"/>
        <v>95378.368421052626</v>
      </c>
      <c r="I31" s="473">
        <f t="shared" si="6"/>
        <v>0</v>
      </c>
      <c r="J31" s="473"/>
      <c r="K31" s="485"/>
      <c r="L31" s="476">
        <f t="shared" si="30"/>
        <v>0</v>
      </c>
      <c r="M31" s="485"/>
      <c r="N31" s="476">
        <f t="shared" si="11"/>
        <v>0</v>
      </c>
      <c r="O31" s="476">
        <f t="shared" si="12"/>
        <v>0</v>
      </c>
      <c r="P31" s="241"/>
    </row>
    <row r="32" spans="2:16">
      <c r="B32" s="160" t="str">
        <f t="shared" si="7"/>
        <v/>
      </c>
      <c r="C32" s="470">
        <f>IF(D11="","-",+C31+1)</f>
        <v>2028</v>
      </c>
      <c r="D32" s="483">
        <f>IF(F31+SUM(E$17:E31)=D$10,F31,D$10-SUM(E$17:E31))</f>
        <v>598967.78144870256</v>
      </c>
      <c r="E32" s="482">
        <f t="shared" si="5"/>
        <v>27251.36842105263</v>
      </c>
      <c r="F32" s="483">
        <f t="shared" si="27"/>
        <v>571716.41302764998</v>
      </c>
      <c r="G32" s="484">
        <f t="shared" si="28"/>
        <v>92278.368421052626</v>
      </c>
      <c r="H32" s="453">
        <f t="shared" si="29"/>
        <v>92278.368421052626</v>
      </c>
      <c r="I32" s="473">
        <f t="shared" si="6"/>
        <v>0</v>
      </c>
      <c r="J32" s="473"/>
      <c r="K32" s="485"/>
      <c r="L32" s="476">
        <f t="shared" si="30"/>
        <v>0</v>
      </c>
      <c r="M32" s="485"/>
      <c r="N32" s="476">
        <f t="shared" si="11"/>
        <v>0</v>
      </c>
      <c r="O32" s="476">
        <f t="shared" si="12"/>
        <v>0</v>
      </c>
      <c r="P32" s="241"/>
    </row>
    <row r="33" spans="2:16">
      <c r="B33" s="160" t="str">
        <f t="shared" si="7"/>
        <v/>
      </c>
      <c r="C33" s="470">
        <f>IF(D11="","-",+C32+1)</f>
        <v>2029</v>
      </c>
      <c r="D33" s="483">
        <f>IF(F32+SUM(E$17:E32)=D$10,F32,D$10-SUM(E$17:E32))</f>
        <v>571716.41302764998</v>
      </c>
      <c r="E33" s="482">
        <f t="shared" si="5"/>
        <v>27251.36842105263</v>
      </c>
      <c r="F33" s="483">
        <f t="shared" si="27"/>
        <v>544465.0446065974</v>
      </c>
      <c r="G33" s="484">
        <f t="shared" si="28"/>
        <v>89179.368421052626</v>
      </c>
      <c r="H33" s="453">
        <f t="shared" si="29"/>
        <v>89179.368421052626</v>
      </c>
      <c r="I33" s="473">
        <f t="shared" si="6"/>
        <v>0</v>
      </c>
      <c r="J33" s="473"/>
      <c r="K33" s="485"/>
      <c r="L33" s="476">
        <f t="shared" si="30"/>
        <v>0</v>
      </c>
      <c r="M33" s="485"/>
      <c r="N33" s="476">
        <f t="shared" si="11"/>
        <v>0</v>
      </c>
      <c r="O33" s="476">
        <f t="shared" si="12"/>
        <v>0</v>
      </c>
      <c r="P33" s="241"/>
    </row>
    <row r="34" spans="2:16">
      <c r="B34" s="160" t="str">
        <f t="shared" si="7"/>
        <v/>
      </c>
      <c r="C34" s="470">
        <f>IF(D11="","-",+C33+1)</f>
        <v>2030</v>
      </c>
      <c r="D34" s="483">
        <f>IF(F33+SUM(E$17:E33)=D$10,F33,D$10-SUM(E$17:E33))</f>
        <v>544465.0446065974</v>
      </c>
      <c r="E34" s="482">
        <f t="shared" si="5"/>
        <v>27251.36842105263</v>
      </c>
      <c r="F34" s="483">
        <f t="shared" si="27"/>
        <v>517213.67618554475</v>
      </c>
      <c r="G34" s="484">
        <f t="shared" si="28"/>
        <v>86079.368421052626</v>
      </c>
      <c r="H34" s="453">
        <f t="shared" si="29"/>
        <v>86079.368421052626</v>
      </c>
      <c r="I34" s="473">
        <f t="shared" si="6"/>
        <v>0</v>
      </c>
      <c r="J34" s="473"/>
      <c r="K34" s="485"/>
      <c r="L34" s="476">
        <f t="shared" si="30"/>
        <v>0</v>
      </c>
      <c r="M34" s="485"/>
      <c r="N34" s="476">
        <f t="shared" si="11"/>
        <v>0</v>
      </c>
      <c r="O34" s="476">
        <f t="shared" si="12"/>
        <v>0</v>
      </c>
      <c r="P34" s="241"/>
    </row>
    <row r="35" spans="2:16">
      <c r="B35" s="160" t="str">
        <f t="shared" si="7"/>
        <v/>
      </c>
      <c r="C35" s="470">
        <f>IF(D11="","-",+C34+1)</f>
        <v>2031</v>
      </c>
      <c r="D35" s="483">
        <f>IF(F34+SUM(E$17:E34)=D$10,F34,D$10-SUM(E$17:E34))</f>
        <v>517213.67618554475</v>
      </c>
      <c r="E35" s="482">
        <f t="shared" si="5"/>
        <v>27251.36842105263</v>
      </c>
      <c r="F35" s="483">
        <f t="shared" si="27"/>
        <v>489962.30776449211</v>
      </c>
      <c r="G35" s="484">
        <f t="shared" si="28"/>
        <v>82979.368421052626</v>
      </c>
      <c r="H35" s="453">
        <f t="shared" si="29"/>
        <v>82979.368421052626</v>
      </c>
      <c r="I35" s="473">
        <f t="shared" si="6"/>
        <v>0</v>
      </c>
      <c r="J35" s="473"/>
      <c r="K35" s="485"/>
      <c r="L35" s="476">
        <f t="shared" si="30"/>
        <v>0</v>
      </c>
      <c r="M35" s="485"/>
      <c r="N35" s="476">
        <f t="shared" si="11"/>
        <v>0</v>
      </c>
      <c r="O35" s="476">
        <f t="shared" si="12"/>
        <v>0</v>
      </c>
      <c r="P35" s="241"/>
    </row>
    <row r="36" spans="2:16">
      <c r="B36" s="160" t="str">
        <f t="shared" si="7"/>
        <v/>
      </c>
      <c r="C36" s="470">
        <f>IF(D11="","-",+C35+1)</f>
        <v>2032</v>
      </c>
      <c r="D36" s="483">
        <f>IF(F35+SUM(E$17:E35)=D$10,F35,D$10-SUM(E$17:E35))</f>
        <v>489962.30776449211</v>
      </c>
      <c r="E36" s="482">
        <f t="shared" si="5"/>
        <v>27251.36842105263</v>
      </c>
      <c r="F36" s="483">
        <f t="shared" si="27"/>
        <v>462710.93934343947</v>
      </c>
      <c r="G36" s="484">
        <f t="shared" si="28"/>
        <v>79880.368421052626</v>
      </c>
      <c r="H36" s="453">
        <f t="shared" si="29"/>
        <v>79880.368421052626</v>
      </c>
      <c r="I36" s="473">
        <f t="shared" si="6"/>
        <v>0</v>
      </c>
      <c r="J36" s="473"/>
      <c r="K36" s="485"/>
      <c r="L36" s="476">
        <f t="shared" si="30"/>
        <v>0</v>
      </c>
      <c r="M36" s="485"/>
      <c r="N36" s="476">
        <f t="shared" si="11"/>
        <v>0</v>
      </c>
      <c r="O36" s="476">
        <f t="shared" si="12"/>
        <v>0</v>
      </c>
      <c r="P36" s="241"/>
    </row>
    <row r="37" spans="2:16">
      <c r="B37" s="160" t="str">
        <f t="shared" si="7"/>
        <v/>
      </c>
      <c r="C37" s="470">
        <f>IF(D11="","-",+C36+1)</f>
        <v>2033</v>
      </c>
      <c r="D37" s="483">
        <f>IF(F36+SUM(E$17:E36)=D$10,F36,D$10-SUM(E$17:E36))</f>
        <v>462710.93934343947</v>
      </c>
      <c r="E37" s="482">
        <f t="shared" si="5"/>
        <v>27251.36842105263</v>
      </c>
      <c r="F37" s="483">
        <f t="shared" si="27"/>
        <v>435459.57092238683</v>
      </c>
      <c r="G37" s="484">
        <f t="shared" si="28"/>
        <v>76780.368421052626</v>
      </c>
      <c r="H37" s="453">
        <f t="shared" si="29"/>
        <v>76780.368421052626</v>
      </c>
      <c r="I37" s="473">
        <f t="shared" si="6"/>
        <v>0</v>
      </c>
      <c r="J37" s="473"/>
      <c r="K37" s="485"/>
      <c r="L37" s="476">
        <f t="shared" si="30"/>
        <v>0</v>
      </c>
      <c r="M37" s="485"/>
      <c r="N37" s="476">
        <f t="shared" si="11"/>
        <v>0</v>
      </c>
      <c r="O37" s="476">
        <f t="shared" si="12"/>
        <v>0</v>
      </c>
      <c r="P37" s="241"/>
    </row>
    <row r="38" spans="2:16">
      <c r="B38" s="160" t="str">
        <f t="shared" si="7"/>
        <v/>
      </c>
      <c r="C38" s="470">
        <f>IF(D11="","-",+C37+1)</f>
        <v>2034</v>
      </c>
      <c r="D38" s="483">
        <f>IF(F37+SUM(E$17:E37)=D$10,F37,D$10-SUM(E$17:E37))</f>
        <v>435459.57092238683</v>
      </c>
      <c r="E38" s="482">
        <f t="shared" si="5"/>
        <v>27251.36842105263</v>
      </c>
      <c r="F38" s="483">
        <f t="shared" si="27"/>
        <v>408208.20250133419</v>
      </c>
      <c r="G38" s="484">
        <f t="shared" si="28"/>
        <v>73681.368421052626</v>
      </c>
      <c r="H38" s="453">
        <f t="shared" si="29"/>
        <v>73681.368421052626</v>
      </c>
      <c r="I38" s="473">
        <f t="shared" si="6"/>
        <v>0</v>
      </c>
      <c r="J38" s="473"/>
      <c r="K38" s="485"/>
      <c r="L38" s="476">
        <f t="shared" si="30"/>
        <v>0</v>
      </c>
      <c r="M38" s="485"/>
      <c r="N38" s="476">
        <f t="shared" si="11"/>
        <v>0</v>
      </c>
      <c r="O38" s="476">
        <f t="shared" si="12"/>
        <v>0</v>
      </c>
      <c r="P38" s="241"/>
    </row>
    <row r="39" spans="2:16">
      <c r="B39" s="160" t="str">
        <f t="shared" si="7"/>
        <v/>
      </c>
      <c r="C39" s="470">
        <f>IF(D11="","-",+C38+1)</f>
        <v>2035</v>
      </c>
      <c r="D39" s="483">
        <f>IF(F38+SUM(E$17:E38)=D$10,F38,D$10-SUM(E$17:E38))</f>
        <v>408208.20250133419</v>
      </c>
      <c r="E39" s="482">
        <f t="shared" si="5"/>
        <v>27251.36842105263</v>
      </c>
      <c r="F39" s="483">
        <f t="shared" si="27"/>
        <v>380956.83408028155</v>
      </c>
      <c r="G39" s="484">
        <f t="shared" si="28"/>
        <v>70581.368421052626</v>
      </c>
      <c r="H39" s="453">
        <f t="shared" si="29"/>
        <v>70581.368421052626</v>
      </c>
      <c r="I39" s="473">
        <f t="shared" si="6"/>
        <v>0</v>
      </c>
      <c r="J39" s="473"/>
      <c r="K39" s="485"/>
      <c r="L39" s="476">
        <f t="shared" si="30"/>
        <v>0</v>
      </c>
      <c r="M39" s="485"/>
      <c r="N39" s="476">
        <f t="shared" si="11"/>
        <v>0</v>
      </c>
      <c r="O39" s="476">
        <f t="shared" si="12"/>
        <v>0</v>
      </c>
      <c r="P39" s="241"/>
    </row>
    <row r="40" spans="2:16">
      <c r="B40" s="160" t="str">
        <f t="shared" si="7"/>
        <v/>
      </c>
      <c r="C40" s="470">
        <f>IF(D11="","-",+C39+1)</f>
        <v>2036</v>
      </c>
      <c r="D40" s="483">
        <f>IF(F39+SUM(E$17:E39)=D$10,F39,D$10-SUM(E$17:E39))</f>
        <v>380956.83408028155</v>
      </c>
      <c r="E40" s="482">
        <f t="shared" si="5"/>
        <v>27251.36842105263</v>
      </c>
      <c r="F40" s="483">
        <f t="shared" si="27"/>
        <v>353705.46565922891</v>
      </c>
      <c r="G40" s="484">
        <f t="shared" si="28"/>
        <v>67482.368421052626</v>
      </c>
      <c r="H40" s="453">
        <f t="shared" si="29"/>
        <v>67482.368421052626</v>
      </c>
      <c r="I40" s="473">
        <f t="shared" si="6"/>
        <v>0</v>
      </c>
      <c r="J40" s="473"/>
      <c r="K40" s="485"/>
      <c r="L40" s="476">
        <f t="shared" si="30"/>
        <v>0</v>
      </c>
      <c r="M40" s="485"/>
      <c r="N40" s="476">
        <f t="shared" si="11"/>
        <v>0</v>
      </c>
      <c r="O40" s="476">
        <f t="shared" si="12"/>
        <v>0</v>
      </c>
      <c r="P40" s="241"/>
    </row>
    <row r="41" spans="2:16">
      <c r="B41" s="160" t="str">
        <f t="shared" si="7"/>
        <v/>
      </c>
      <c r="C41" s="470">
        <f>IF(D11="","-",+C40+1)</f>
        <v>2037</v>
      </c>
      <c r="D41" s="483">
        <f>IF(F40+SUM(E$17:E40)=D$10,F40,D$10-SUM(E$17:E40))</f>
        <v>353705.46565922891</v>
      </c>
      <c r="E41" s="482">
        <f t="shared" si="5"/>
        <v>27251.36842105263</v>
      </c>
      <c r="F41" s="483">
        <f t="shared" si="27"/>
        <v>326454.09723817627</v>
      </c>
      <c r="G41" s="484">
        <f t="shared" si="28"/>
        <v>64382.368421052626</v>
      </c>
      <c r="H41" s="453">
        <f t="shared" si="29"/>
        <v>64382.368421052626</v>
      </c>
      <c r="I41" s="473">
        <f t="shared" si="6"/>
        <v>0</v>
      </c>
      <c r="J41" s="473"/>
      <c r="K41" s="485"/>
      <c r="L41" s="476">
        <f t="shared" si="30"/>
        <v>0</v>
      </c>
      <c r="M41" s="485"/>
      <c r="N41" s="476">
        <f t="shared" si="11"/>
        <v>0</v>
      </c>
      <c r="O41" s="476">
        <f t="shared" si="12"/>
        <v>0</v>
      </c>
      <c r="P41" s="241"/>
    </row>
    <row r="42" spans="2:16">
      <c r="B42" s="160" t="str">
        <f t="shared" si="7"/>
        <v/>
      </c>
      <c r="C42" s="470">
        <f>IF(D11="","-",+C41+1)</f>
        <v>2038</v>
      </c>
      <c r="D42" s="483">
        <f>IF(F41+SUM(E$17:E41)=D$10,F41,D$10-SUM(E$17:E41))</f>
        <v>326454.09723817627</v>
      </c>
      <c r="E42" s="482">
        <f t="shared" si="5"/>
        <v>27251.36842105263</v>
      </c>
      <c r="F42" s="483">
        <f t="shared" si="27"/>
        <v>299202.72881712363</v>
      </c>
      <c r="G42" s="484">
        <f t="shared" si="28"/>
        <v>61282.368421052626</v>
      </c>
      <c r="H42" s="453">
        <f t="shared" si="29"/>
        <v>61282.368421052626</v>
      </c>
      <c r="I42" s="473">
        <f t="shared" si="6"/>
        <v>0</v>
      </c>
      <c r="J42" s="473"/>
      <c r="K42" s="485"/>
      <c r="L42" s="476">
        <f t="shared" si="30"/>
        <v>0</v>
      </c>
      <c r="M42" s="485"/>
      <c r="N42" s="476">
        <f t="shared" si="11"/>
        <v>0</v>
      </c>
      <c r="O42" s="476">
        <f t="shared" si="12"/>
        <v>0</v>
      </c>
      <c r="P42" s="241"/>
    </row>
    <row r="43" spans="2:16">
      <c r="B43" s="160" t="str">
        <f t="shared" si="7"/>
        <v/>
      </c>
      <c r="C43" s="470">
        <f>IF(D11="","-",+C42+1)</f>
        <v>2039</v>
      </c>
      <c r="D43" s="483">
        <f>IF(F42+SUM(E$17:E42)=D$10,F42,D$10-SUM(E$17:E42))</f>
        <v>299202.72881712363</v>
      </c>
      <c r="E43" s="482">
        <f t="shared" si="5"/>
        <v>27251.36842105263</v>
      </c>
      <c r="F43" s="483">
        <f t="shared" si="27"/>
        <v>271951.36039607099</v>
      </c>
      <c r="G43" s="484">
        <f t="shared" si="28"/>
        <v>58183.368421052626</v>
      </c>
      <c r="H43" s="453">
        <f t="shared" si="29"/>
        <v>58183.368421052626</v>
      </c>
      <c r="I43" s="473">
        <f t="shared" si="6"/>
        <v>0</v>
      </c>
      <c r="J43" s="473"/>
      <c r="K43" s="485"/>
      <c r="L43" s="476">
        <f t="shared" si="30"/>
        <v>0</v>
      </c>
      <c r="M43" s="485"/>
      <c r="N43" s="476">
        <f t="shared" si="11"/>
        <v>0</v>
      </c>
      <c r="O43" s="476">
        <f t="shared" si="12"/>
        <v>0</v>
      </c>
      <c r="P43" s="241"/>
    </row>
    <row r="44" spans="2:16">
      <c r="B44" s="160" t="str">
        <f t="shared" si="7"/>
        <v/>
      </c>
      <c r="C44" s="470">
        <f>IF(D11="","-",+C43+1)</f>
        <v>2040</v>
      </c>
      <c r="D44" s="483">
        <f>IF(F43+SUM(E$17:E43)=D$10,F43,D$10-SUM(E$17:E43))</f>
        <v>271951.36039607099</v>
      </c>
      <c r="E44" s="482">
        <f t="shared" si="5"/>
        <v>27251.36842105263</v>
      </c>
      <c r="F44" s="483">
        <f t="shared" si="27"/>
        <v>244699.99197501835</v>
      </c>
      <c r="G44" s="484">
        <f t="shared" si="28"/>
        <v>55083.368421052626</v>
      </c>
      <c r="H44" s="453">
        <f t="shared" si="29"/>
        <v>55083.368421052626</v>
      </c>
      <c r="I44" s="473">
        <f t="shared" si="6"/>
        <v>0</v>
      </c>
      <c r="J44" s="473"/>
      <c r="K44" s="485"/>
      <c r="L44" s="476">
        <f t="shared" si="30"/>
        <v>0</v>
      </c>
      <c r="M44" s="485"/>
      <c r="N44" s="476">
        <f t="shared" si="11"/>
        <v>0</v>
      </c>
      <c r="O44" s="476">
        <f t="shared" si="12"/>
        <v>0</v>
      </c>
      <c r="P44" s="241"/>
    </row>
    <row r="45" spans="2:16">
      <c r="B45" s="160" t="str">
        <f t="shared" si="7"/>
        <v/>
      </c>
      <c r="C45" s="470">
        <f>IF(D11="","-",+C44+1)</f>
        <v>2041</v>
      </c>
      <c r="D45" s="483">
        <f>IF(F44+SUM(E$17:E44)=D$10,F44,D$10-SUM(E$17:E44))</f>
        <v>244699.99197501835</v>
      </c>
      <c r="E45" s="482">
        <f t="shared" si="5"/>
        <v>27251.36842105263</v>
      </c>
      <c r="F45" s="483">
        <f t="shared" si="27"/>
        <v>217448.62355396571</v>
      </c>
      <c r="G45" s="484">
        <f t="shared" si="28"/>
        <v>51984.368421052626</v>
      </c>
      <c r="H45" s="453">
        <f t="shared" si="29"/>
        <v>51984.368421052626</v>
      </c>
      <c r="I45" s="473">
        <f t="shared" si="6"/>
        <v>0</v>
      </c>
      <c r="J45" s="473"/>
      <c r="K45" s="485"/>
      <c r="L45" s="476">
        <f t="shared" si="30"/>
        <v>0</v>
      </c>
      <c r="M45" s="485"/>
      <c r="N45" s="476">
        <f t="shared" si="11"/>
        <v>0</v>
      </c>
      <c r="O45" s="476">
        <f t="shared" si="12"/>
        <v>0</v>
      </c>
      <c r="P45" s="241"/>
    </row>
    <row r="46" spans="2:16">
      <c r="B46" s="160" t="str">
        <f t="shared" si="7"/>
        <v/>
      </c>
      <c r="C46" s="470">
        <f>IF(D11="","-",+C45+1)</f>
        <v>2042</v>
      </c>
      <c r="D46" s="483">
        <f>IF(F45+SUM(E$17:E45)=D$10,F45,D$10-SUM(E$17:E45))</f>
        <v>217448.62355396571</v>
      </c>
      <c r="E46" s="482">
        <f t="shared" si="5"/>
        <v>27251.36842105263</v>
      </c>
      <c r="F46" s="483">
        <f t="shared" si="27"/>
        <v>190197.25513291307</v>
      </c>
      <c r="G46" s="484">
        <f t="shared" si="28"/>
        <v>48884.368421052626</v>
      </c>
      <c r="H46" s="453">
        <f t="shared" si="29"/>
        <v>48884.368421052626</v>
      </c>
      <c r="I46" s="473">
        <f t="shared" si="6"/>
        <v>0</v>
      </c>
      <c r="J46" s="473"/>
      <c r="K46" s="485"/>
      <c r="L46" s="476">
        <f t="shared" si="30"/>
        <v>0</v>
      </c>
      <c r="M46" s="485"/>
      <c r="N46" s="476">
        <f t="shared" si="11"/>
        <v>0</v>
      </c>
      <c r="O46" s="476">
        <f t="shared" si="12"/>
        <v>0</v>
      </c>
      <c r="P46" s="241"/>
    </row>
    <row r="47" spans="2:16">
      <c r="B47" s="160" t="str">
        <f t="shared" si="7"/>
        <v/>
      </c>
      <c r="C47" s="470">
        <f>IF(D11="","-",+C46+1)</f>
        <v>2043</v>
      </c>
      <c r="D47" s="483">
        <f>IF(F46+SUM(E$17:E46)=D$10,F46,D$10-SUM(E$17:E46))</f>
        <v>190197.25513291307</v>
      </c>
      <c r="E47" s="482">
        <f t="shared" si="5"/>
        <v>27251.36842105263</v>
      </c>
      <c r="F47" s="483">
        <f t="shared" si="27"/>
        <v>162945.88671186042</v>
      </c>
      <c r="G47" s="484">
        <f t="shared" si="28"/>
        <v>45784.368421052626</v>
      </c>
      <c r="H47" s="453">
        <f t="shared" si="29"/>
        <v>45784.368421052626</v>
      </c>
      <c r="I47" s="473">
        <f t="shared" si="6"/>
        <v>0</v>
      </c>
      <c r="J47" s="473"/>
      <c r="K47" s="485"/>
      <c r="L47" s="476">
        <f t="shared" si="30"/>
        <v>0</v>
      </c>
      <c r="M47" s="485"/>
      <c r="N47" s="476">
        <f t="shared" si="11"/>
        <v>0</v>
      </c>
      <c r="O47" s="476">
        <f t="shared" si="12"/>
        <v>0</v>
      </c>
      <c r="P47" s="241"/>
    </row>
    <row r="48" spans="2:16">
      <c r="B48" s="160" t="str">
        <f t="shared" si="7"/>
        <v/>
      </c>
      <c r="C48" s="470">
        <f>IF(D11="","-",+C47+1)</f>
        <v>2044</v>
      </c>
      <c r="D48" s="483">
        <f>IF(F47+SUM(E$17:E47)=D$10,F47,D$10-SUM(E$17:E47))</f>
        <v>162945.88671186042</v>
      </c>
      <c r="E48" s="482">
        <f t="shared" si="5"/>
        <v>27251.36842105263</v>
      </c>
      <c r="F48" s="483">
        <f t="shared" si="27"/>
        <v>135694.51829080778</v>
      </c>
      <c r="G48" s="484">
        <f t="shared" si="28"/>
        <v>42685.368421052626</v>
      </c>
      <c r="H48" s="453">
        <f t="shared" si="29"/>
        <v>42685.368421052626</v>
      </c>
      <c r="I48" s="473">
        <f t="shared" si="6"/>
        <v>0</v>
      </c>
      <c r="J48" s="473"/>
      <c r="K48" s="485"/>
      <c r="L48" s="476">
        <f t="shared" si="30"/>
        <v>0</v>
      </c>
      <c r="M48" s="485"/>
      <c r="N48" s="476">
        <f t="shared" si="11"/>
        <v>0</v>
      </c>
      <c r="O48" s="476">
        <f t="shared" si="12"/>
        <v>0</v>
      </c>
      <c r="P48" s="241"/>
    </row>
    <row r="49" spans="2:16">
      <c r="B49" s="160" t="str">
        <f t="shared" si="7"/>
        <v/>
      </c>
      <c r="C49" s="470">
        <f>IF(D11="","-",+C48+1)</f>
        <v>2045</v>
      </c>
      <c r="D49" s="483">
        <f>IF(F48+SUM(E$17:E48)=D$10,F48,D$10-SUM(E$17:E48))</f>
        <v>135694.51829080778</v>
      </c>
      <c r="E49" s="482">
        <f t="shared" si="5"/>
        <v>27251.36842105263</v>
      </c>
      <c r="F49" s="483">
        <f t="shared" si="27"/>
        <v>108443.14986975516</v>
      </c>
      <c r="G49" s="484">
        <f t="shared" si="28"/>
        <v>39585.368421052626</v>
      </c>
      <c r="H49" s="453">
        <f t="shared" si="29"/>
        <v>39585.368421052626</v>
      </c>
      <c r="I49" s="473">
        <f t="shared" si="6"/>
        <v>0</v>
      </c>
      <c r="J49" s="473"/>
      <c r="K49" s="485"/>
      <c r="L49" s="476">
        <f t="shared" si="30"/>
        <v>0</v>
      </c>
      <c r="M49" s="485"/>
      <c r="N49" s="476">
        <f t="shared" si="11"/>
        <v>0</v>
      </c>
      <c r="O49" s="476">
        <f t="shared" si="12"/>
        <v>0</v>
      </c>
      <c r="P49" s="241"/>
    </row>
    <row r="50" spans="2:16">
      <c r="B50" s="160" t="str">
        <f t="shared" si="7"/>
        <v/>
      </c>
      <c r="C50" s="470">
        <f>IF(D11="","-",+C49+1)</f>
        <v>2046</v>
      </c>
      <c r="D50" s="483">
        <f>IF(F49+SUM(E$17:E49)=D$10,F49,D$10-SUM(E$17:E49))</f>
        <v>108443.14986975516</v>
      </c>
      <c r="E50" s="482">
        <f t="shared" si="5"/>
        <v>27251.36842105263</v>
      </c>
      <c r="F50" s="483">
        <f t="shared" si="27"/>
        <v>81191.781448702532</v>
      </c>
      <c r="G50" s="484">
        <f t="shared" si="28"/>
        <v>36486.368421052626</v>
      </c>
      <c r="H50" s="453">
        <f t="shared" si="29"/>
        <v>36486.368421052626</v>
      </c>
      <c r="I50" s="473">
        <f t="shared" si="6"/>
        <v>0</v>
      </c>
      <c r="J50" s="473"/>
      <c r="K50" s="485"/>
      <c r="L50" s="476">
        <f t="shared" si="30"/>
        <v>0</v>
      </c>
      <c r="M50" s="485"/>
      <c r="N50" s="476">
        <f t="shared" si="11"/>
        <v>0</v>
      </c>
      <c r="O50" s="476">
        <f t="shared" si="12"/>
        <v>0</v>
      </c>
      <c r="P50" s="241"/>
    </row>
    <row r="51" spans="2:16">
      <c r="B51" s="160" t="str">
        <f t="shared" si="7"/>
        <v/>
      </c>
      <c r="C51" s="470">
        <f>IF(D11="","-",+C50+1)</f>
        <v>2047</v>
      </c>
      <c r="D51" s="483">
        <f>IF(F50+SUM(E$17:E50)=D$10,F50,D$10-SUM(E$17:E50))</f>
        <v>81191.781448702532</v>
      </c>
      <c r="E51" s="482">
        <f t="shared" si="5"/>
        <v>27251.36842105263</v>
      </c>
      <c r="F51" s="483">
        <f t="shared" si="27"/>
        <v>53940.413027649905</v>
      </c>
      <c r="G51" s="484">
        <f t="shared" si="28"/>
        <v>33386.368421052626</v>
      </c>
      <c r="H51" s="453">
        <f t="shared" si="29"/>
        <v>33386.368421052626</v>
      </c>
      <c r="I51" s="473">
        <f t="shared" si="6"/>
        <v>0</v>
      </c>
      <c r="J51" s="473"/>
      <c r="K51" s="485"/>
      <c r="L51" s="476">
        <f t="shared" si="30"/>
        <v>0</v>
      </c>
      <c r="M51" s="485"/>
      <c r="N51" s="476">
        <f t="shared" si="11"/>
        <v>0</v>
      </c>
      <c r="O51" s="476">
        <f t="shared" si="12"/>
        <v>0</v>
      </c>
      <c r="P51" s="241"/>
    </row>
    <row r="52" spans="2:16">
      <c r="B52" s="160" t="str">
        <f t="shared" si="7"/>
        <v/>
      </c>
      <c r="C52" s="470">
        <f>IF(D11="","-",+C51+1)</f>
        <v>2048</v>
      </c>
      <c r="D52" s="483">
        <f>IF(F51+SUM(E$17:E51)=D$10,F51,D$10-SUM(E$17:E51))</f>
        <v>53940.413027649905</v>
      </c>
      <c r="E52" s="482">
        <f t="shared" si="5"/>
        <v>27251.36842105263</v>
      </c>
      <c r="F52" s="483">
        <f t="shared" si="27"/>
        <v>26689.044606597276</v>
      </c>
      <c r="G52" s="484">
        <f t="shared" si="28"/>
        <v>30287.36842105263</v>
      </c>
      <c r="H52" s="453">
        <f t="shared" si="29"/>
        <v>30287.36842105263</v>
      </c>
      <c r="I52" s="473">
        <f t="shared" si="6"/>
        <v>0</v>
      </c>
      <c r="J52" s="473"/>
      <c r="K52" s="485"/>
      <c r="L52" s="476">
        <f t="shared" si="30"/>
        <v>0</v>
      </c>
      <c r="M52" s="485"/>
      <c r="N52" s="476">
        <f t="shared" si="11"/>
        <v>0</v>
      </c>
      <c r="O52" s="476">
        <f t="shared" si="12"/>
        <v>0</v>
      </c>
      <c r="P52" s="241"/>
    </row>
    <row r="53" spans="2:16">
      <c r="B53" s="160" t="str">
        <f t="shared" si="7"/>
        <v/>
      </c>
      <c r="C53" s="470">
        <f>IF(D11="","-",+C52+1)</f>
        <v>2049</v>
      </c>
      <c r="D53" s="483">
        <f>IF(F52+SUM(E$17:E52)=D$10,F52,D$10-SUM(E$17:E52))</f>
        <v>26689.044606597276</v>
      </c>
      <c r="E53" s="482">
        <f t="shared" si="5"/>
        <v>26689.044606597276</v>
      </c>
      <c r="F53" s="483">
        <f t="shared" si="27"/>
        <v>0</v>
      </c>
      <c r="G53" s="484">
        <f t="shared" si="28"/>
        <v>26689.044606597276</v>
      </c>
      <c r="H53" s="453">
        <f t="shared" si="29"/>
        <v>26689.044606597276</v>
      </c>
      <c r="I53" s="473">
        <f t="shared" si="6"/>
        <v>0</v>
      </c>
      <c r="J53" s="473"/>
      <c r="K53" s="485"/>
      <c r="L53" s="476">
        <f t="shared" si="30"/>
        <v>0</v>
      </c>
      <c r="M53" s="485"/>
      <c r="N53" s="476">
        <f t="shared" si="11"/>
        <v>0</v>
      </c>
      <c r="O53" s="476">
        <f t="shared" si="12"/>
        <v>0</v>
      </c>
      <c r="P53" s="241"/>
    </row>
    <row r="54" spans="2:16">
      <c r="B54" s="160" t="str">
        <f t="shared" si="7"/>
        <v/>
      </c>
      <c r="C54" s="470">
        <f>IF(D11="","-",+C53+1)</f>
        <v>2050</v>
      </c>
      <c r="D54" s="483">
        <f>IF(F53+SUM(E$17:E53)=D$10,F53,D$10-SUM(E$17:E53))</f>
        <v>0</v>
      </c>
      <c r="E54" s="482">
        <f t="shared" si="5"/>
        <v>0</v>
      </c>
      <c r="F54" s="483">
        <f t="shared" si="27"/>
        <v>0</v>
      </c>
      <c r="G54" s="484">
        <f t="shared" si="28"/>
        <v>0</v>
      </c>
      <c r="H54" s="453">
        <f t="shared" si="29"/>
        <v>0</v>
      </c>
      <c r="I54" s="473">
        <f t="shared" si="6"/>
        <v>0</v>
      </c>
      <c r="J54" s="473"/>
      <c r="K54" s="485"/>
      <c r="L54" s="476">
        <f t="shared" si="30"/>
        <v>0</v>
      </c>
      <c r="M54" s="485"/>
      <c r="N54" s="476">
        <f t="shared" si="11"/>
        <v>0</v>
      </c>
      <c r="O54" s="476">
        <f t="shared" si="12"/>
        <v>0</v>
      </c>
      <c r="P54" s="241"/>
    </row>
    <row r="55" spans="2:16">
      <c r="B55" s="160" t="str">
        <f t="shared" si="7"/>
        <v/>
      </c>
      <c r="C55" s="470">
        <f>IF(D11="","-",+C54+1)</f>
        <v>2051</v>
      </c>
      <c r="D55" s="483">
        <f>IF(F54+SUM(E$17:E54)=D$10,F54,D$10-SUM(E$17:E54))</f>
        <v>0</v>
      </c>
      <c r="E55" s="482">
        <f t="shared" si="5"/>
        <v>0</v>
      </c>
      <c r="F55" s="483">
        <f t="shared" si="27"/>
        <v>0</v>
      </c>
      <c r="G55" s="484">
        <f t="shared" si="28"/>
        <v>0</v>
      </c>
      <c r="H55" s="453">
        <f t="shared" si="29"/>
        <v>0</v>
      </c>
      <c r="I55" s="473">
        <f t="shared" si="6"/>
        <v>0</v>
      </c>
      <c r="J55" s="473"/>
      <c r="K55" s="485"/>
      <c r="L55" s="476">
        <f t="shared" si="30"/>
        <v>0</v>
      </c>
      <c r="M55" s="485"/>
      <c r="N55" s="476">
        <f t="shared" si="11"/>
        <v>0</v>
      </c>
      <c r="O55" s="476">
        <f t="shared" si="12"/>
        <v>0</v>
      </c>
      <c r="P55" s="241"/>
    </row>
    <row r="56" spans="2:16">
      <c r="B56" s="160" t="str">
        <f t="shared" si="7"/>
        <v/>
      </c>
      <c r="C56" s="470">
        <f>IF(D11="","-",+C55+1)</f>
        <v>2052</v>
      </c>
      <c r="D56" s="483">
        <f>IF(F55+SUM(E$17:E55)=D$10,F55,D$10-SUM(E$17:E55))</f>
        <v>0</v>
      </c>
      <c r="E56" s="482">
        <f t="shared" si="5"/>
        <v>0</v>
      </c>
      <c r="F56" s="483">
        <f t="shared" si="27"/>
        <v>0</v>
      </c>
      <c r="G56" s="484">
        <f t="shared" si="28"/>
        <v>0</v>
      </c>
      <c r="H56" s="453">
        <f t="shared" si="29"/>
        <v>0</v>
      </c>
      <c r="I56" s="473">
        <f t="shared" si="6"/>
        <v>0</v>
      </c>
      <c r="J56" s="473"/>
      <c r="K56" s="485"/>
      <c r="L56" s="476">
        <f t="shared" si="30"/>
        <v>0</v>
      </c>
      <c r="M56" s="485"/>
      <c r="N56" s="476">
        <f t="shared" si="11"/>
        <v>0</v>
      </c>
      <c r="O56" s="476">
        <f t="shared" si="12"/>
        <v>0</v>
      </c>
      <c r="P56" s="241"/>
    </row>
    <row r="57" spans="2:16">
      <c r="B57" s="160" t="str">
        <f t="shared" si="7"/>
        <v/>
      </c>
      <c r="C57" s="470">
        <f>IF(D11="","-",+C56+1)</f>
        <v>2053</v>
      </c>
      <c r="D57" s="483">
        <f>IF(F56+SUM(E$17:E56)=D$10,F56,D$10-SUM(E$17:E56))</f>
        <v>0</v>
      </c>
      <c r="E57" s="482">
        <f t="shared" si="5"/>
        <v>0</v>
      </c>
      <c r="F57" s="483">
        <f t="shared" si="27"/>
        <v>0</v>
      </c>
      <c r="G57" s="484">
        <f t="shared" si="28"/>
        <v>0</v>
      </c>
      <c r="H57" s="453">
        <f t="shared" si="29"/>
        <v>0</v>
      </c>
      <c r="I57" s="473">
        <f t="shared" si="6"/>
        <v>0</v>
      </c>
      <c r="J57" s="473"/>
      <c r="K57" s="485"/>
      <c r="L57" s="476">
        <f t="shared" si="30"/>
        <v>0</v>
      </c>
      <c r="M57" s="485"/>
      <c r="N57" s="476">
        <f t="shared" si="11"/>
        <v>0</v>
      </c>
      <c r="O57" s="476">
        <f t="shared" si="12"/>
        <v>0</v>
      </c>
      <c r="P57" s="241"/>
    </row>
    <row r="58" spans="2:16">
      <c r="B58" s="160" t="str">
        <f t="shared" si="7"/>
        <v/>
      </c>
      <c r="C58" s="470">
        <f>IF(D11="","-",+C57+1)</f>
        <v>2054</v>
      </c>
      <c r="D58" s="483">
        <f>IF(F57+SUM(E$17:E57)=D$10,F57,D$10-SUM(E$17:E57))</f>
        <v>0</v>
      </c>
      <c r="E58" s="482">
        <f t="shared" si="5"/>
        <v>0</v>
      </c>
      <c r="F58" s="483">
        <f t="shared" si="27"/>
        <v>0</v>
      </c>
      <c r="G58" s="484">
        <f t="shared" si="28"/>
        <v>0</v>
      </c>
      <c r="H58" s="453">
        <f t="shared" si="29"/>
        <v>0</v>
      </c>
      <c r="I58" s="473">
        <f t="shared" si="6"/>
        <v>0</v>
      </c>
      <c r="J58" s="473"/>
      <c r="K58" s="485"/>
      <c r="L58" s="476">
        <f t="shared" si="30"/>
        <v>0</v>
      </c>
      <c r="M58" s="485"/>
      <c r="N58" s="476">
        <f t="shared" si="11"/>
        <v>0</v>
      </c>
      <c r="O58" s="476">
        <f t="shared" si="12"/>
        <v>0</v>
      </c>
      <c r="P58" s="241"/>
    </row>
    <row r="59" spans="2:16">
      <c r="B59" s="160" t="str">
        <f t="shared" si="7"/>
        <v/>
      </c>
      <c r="C59" s="470">
        <f>IF(D11="","-",+C58+1)</f>
        <v>2055</v>
      </c>
      <c r="D59" s="483">
        <f>IF(F58+SUM(E$17:E58)=D$10,F58,D$10-SUM(E$17:E58))</f>
        <v>0</v>
      </c>
      <c r="E59" s="482">
        <f t="shared" si="5"/>
        <v>0</v>
      </c>
      <c r="F59" s="483">
        <f t="shared" si="27"/>
        <v>0</v>
      </c>
      <c r="G59" s="484">
        <f t="shared" si="28"/>
        <v>0</v>
      </c>
      <c r="H59" s="453">
        <f t="shared" si="29"/>
        <v>0</v>
      </c>
      <c r="I59" s="473">
        <f t="shared" si="6"/>
        <v>0</v>
      </c>
      <c r="J59" s="473"/>
      <c r="K59" s="485"/>
      <c r="L59" s="476">
        <f t="shared" si="30"/>
        <v>0</v>
      </c>
      <c r="M59" s="485"/>
      <c r="N59" s="476">
        <f t="shared" si="11"/>
        <v>0</v>
      </c>
      <c r="O59" s="476">
        <f t="shared" si="12"/>
        <v>0</v>
      </c>
      <c r="P59" s="241"/>
    </row>
    <row r="60" spans="2:16">
      <c r="B60" s="160" t="str">
        <f t="shared" si="7"/>
        <v/>
      </c>
      <c r="C60" s="470">
        <f>IF(D11="","-",+C59+1)</f>
        <v>2056</v>
      </c>
      <c r="D60" s="483">
        <f>IF(F59+SUM(E$17:E59)=D$10,F59,D$10-SUM(E$17:E59))</f>
        <v>0</v>
      </c>
      <c r="E60" s="482">
        <f t="shared" si="5"/>
        <v>0</v>
      </c>
      <c r="F60" s="483">
        <f t="shared" si="27"/>
        <v>0</v>
      </c>
      <c r="G60" s="484">
        <f t="shared" si="28"/>
        <v>0</v>
      </c>
      <c r="H60" s="453">
        <f t="shared" si="29"/>
        <v>0</v>
      </c>
      <c r="I60" s="473">
        <f t="shared" si="6"/>
        <v>0</v>
      </c>
      <c r="J60" s="473"/>
      <c r="K60" s="485"/>
      <c r="L60" s="476">
        <f t="shared" si="30"/>
        <v>0</v>
      </c>
      <c r="M60" s="485"/>
      <c r="N60" s="476">
        <f t="shared" si="11"/>
        <v>0</v>
      </c>
      <c r="O60" s="476">
        <f t="shared" si="12"/>
        <v>0</v>
      </c>
      <c r="P60" s="241"/>
    </row>
    <row r="61" spans="2:16">
      <c r="B61" s="160" t="str">
        <f t="shared" si="7"/>
        <v/>
      </c>
      <c r="C61" s="470">
        <f>IF(D11="","-",+C60+1)</f>
        <v>2057</v>
      </c>
      <c r="D61" s="483">
        <f>IF(F60+SUM(E$17:E60)=D$10,F60,D$10-SUM(E$17:E60))</f>
        <v>0</v>
      </c>
      <c r="E61" s="482">
        <f t="shared" si="5"/>
        <v>0</v>
      </c>
      <c r="F61" s="483">
        <f t="shared" si="27"/>
        <v>0</v>
      </c>
      <c r="G61" s="484">
        <f t="shared" si="28"/>
        <v>0</v>
      </c>
      <c r="H61" s="453">
        <f t="shared" si="29"/>
        <v>0</v>
      </c>
      <c r="I61" s="473">
        <f t="shared" si="6"/>
        <v>0</v>
      </c>
      <c r="J61" s="473"/>
      <c r="K61" s="485"/>
      <c r="L61" s="476">
        <f t="shared" si="30"/>
        <v>0</v>
      </c>
      <c r="M61" s="485"/>
      <c r="N61" s="476">
        <f t="shared" si="11"/>
        <v>0</v>
      </c>
      <c r="O61" s="476">
        <f t="shared" si="12"/>
        <v>0</v>
      </c>
      <c r="P61" s="241"/>
    </row>
    <row r="62" spans="2:16">
      <c r="B62" s="160" t="str">
        <f t="shared" si="7"/>
        <v/>
      </c>
      <c r="C62" s="470">
        <f>IF(D11="","-",+C61+1)</f>
        <v>2058</v>
      </c>
      <c r="D62" s="483">
        <f>IF(F61+SUM(E$17:E61)=D$10,F61,D$10-SUM(E$17:E61))</f>
        <v>0</v>
      </c>
      <c r="E62" s="482">
        <f t="shared" si="5"/>
        <v>0</v>
      </c>
      <c r="F62" s="483">
        <f t="shared" si="27"/>
        <v>0</v>
      </c>
      <c r="G62" s="484">
        <f t="shared" si="28"/>
        <v>0</v>
      </c>
      <c r="H62" s="453">
        <f t="shared" si="29"/>
        <v>0</v>
      </c>
      <c r="I62" s="473">
        <f t="shared" si="6"/>
        <v>0</v>
      </c>
      <c r="J62" s="473"/>
      <c r="K62" s="485"/>
      <c r="L62" s="476">
        <f t="shared" si="30"/>
        <v>0</v>
      </c>
      <c r="M62" s="485"/>
      <c r="N62" s="476">
        <f t="shared" si="11"/>
        <v>0</v>
      </c>
      <c r="O62" s="476">
        <f t="shared" si="12"/>
        <v>0</v>
      </c>
      <c r="P62" s="241"/>
    </row>
    <row r="63" spans="2:16">
      <c r="B63" s="160" t="str">
        <f t="shared" si="7"/>
        <v/>
      </c>
      <c r="C63" s="470">
        <f>IF(D11="","-",+C62+1)</f>
        <v>2059</v>
      </c>
      <c r="D63" s="483">
        <f>IF(F62+SUM(E$17:E62)=D$10,F62,D$10-SUM(E$17:E62))</f>
        <v>0</v>
      </c>
      <c r="E63" s="482">
        <f t="shared" si="5"/>
        <v>0</v>
      </c>
      <c r="F63" s="483">
        <f t="shared" si="27"/>
        <v>0</v>
      </c>
      <c r="G63" s="484">
        <f t="shared" si="28"/>
        <v>0</v>
      </c>
      <c r="H63" s="453">
        <f t="shared" si="29"/>
        <v>0</v>
      </c>
      <c r="I63" s="473">
        <f t="shared" si="6"/>
        <v>0</v>
      </c>
      <c r="J63" s="473"/>
      <c r="K63" s="485"/>
      <c r="L63" s="476">
        <f t="shared" si="30"/>
        <v>0</v>
      </c>
      <c r="M63" s="485"/>
      <c r="N63" s="476">
        <f t="shared" si="11"/>
        <v>0</v>
      </c>
      <c r="O63" s="476">
        <f t="shared" si="12"/>
        <v>0</v>
      </c>
      <c r="P63" s="241"/>
    </row>
    <row r="64" spans="2:16">
      <c r="B64" s="160" t="str">
        <f t="shared" si="7"/>
        <v/>
      </c>
      <c r="C64" s="470">
        <f>IF(D11="","-",+C63+1)</f>
        <v>2060</v>
      </c>
      <c r="D64" s="483">
        <f>IF(F63+SUM(E$17:E63)=D$10,F63,D$10-SUM(E$17:E63))</f>
        <v>0</v>
      </c>
      <c r="E64" s="482">
        <f t="shared" si="5"/>
        <v>0</v>
      </c>
      <c r="F64" s="483">
        <f t="shared" si="27"/>
        <v>0</v>
      </c>
      <c r="G64" s="484">
        <f t="shared" si="28"/>
        <v>0</v>
      </c>
      <c r="H64" s="453">
        <f t="shared" si="29"/>
        <v>0</v>
      </c>
      <c r="I64" s="473">
        <f t="shared" si="6"/>
        <v>0</v>
      </c>
      <c r="J64" s="473"/>
      <c r="K64" s="485"/>
      <c r="L64" s="476">
        <f t="shared" si="30"/>
        <v>0</v>
      </c>
      <c r="M64" s="485"/>
      <c r="N64" s="476">
        <f t="shared" si="11"/>
        <v>0</v>
      </c>
      <c r="O64" s="476">
        <f t="shared" si="12"/>
        <v>0</v>
      </c>
      <c r="P64" s="241"/>
    </row>
    <row r="65" spans="2:16">
      <c r="B65" s="160" t="str">
        <f t="shared" si="7"/>
        <v/>
      </c>
      <c r="C65" s="470">
        <f>IF(D11="","-",+C64+1)</f>
        <v>2061</v>
      </c>
      <c r="D65" s="483">
        <f>IF(F64+SUM(E$17:E64)=D$10,F64,D$10-SUM(E$17:E64))</f>
        <v>0</v>
      </c>
      <c r="E65" s="482">
        <f t="shared" si="5"/>
        <v>0</v>
      </c>
      <c r="F65" s="483">
        <f t="shared" si="27"/>
        <v>0</v>
      </c>
      <c r="G65" s="484">
        <f t="shared" si="28"/>
        <v>0</v>
      </c>
      <c r="H65" s="453">
        <f t="shared" si="29"/>
        <v>0</v>
      </c>
      <c r="I65" s="473">
        <f t="shared" si="6"/>
        <v>0</v>
      </c>
      <c r="J65" s="473"/>
      <c r="K65" s="485"/>
      <c r="L65" s="476">
        <f t="shared" si="30"/>
        <v>0</v>
      </c>
      <c r="M65" s="485"/>
      <c r="N65" s="476">
        <f t="shared" si="11"/>
        <v>0</v>
      </c>
      <c r="O65" s="476">
        <f t="shared" si="12"/>
        <v>0</v>
      </c>
      <c r="P65" s="241"/>
    </row>
    <row r="66" spans="2:16">
      <c r="B66" s="160" t="str">
        <f t="shared" si="7"/>
        <v/>
      </c>
      <c r="C66" s="470">
        <f>IF(D11="","-",+C65+1)</f>
        <v>2062</v>
      </c>
      <c r="D66" s="483">
        <f>IF(F65+SUM(E$17:E65)=D$10,F65,D$10-SUM(E$17:E65))</f>
        <v>0</v>
      </c>
      <c r="E66" s="482">
        <f t="shared" si="5"/>
        <v>0</v>
      </c>
      <c r="F66" s="483">
        <f t="shared" si="27"/>
        <v>0</v>
      </c>
      <c r="G66" s="484">
        <f t="shared" si="28"/>
        <v>0</v>
      </c>
      <c r="H66" s="453">
        <f t="shared" si="29"/>
        <v>0</v>
      </c>
      <c r="I66" s="473">
        <f t="shared" si="6"/>
        <v>0</v>
      </c>
      <c r="J66" s="473"/>
      <c r="K66" s="485"/>
      <c r="L66" s="476">
        <f t="shared" si="30"/>
        <v>0</v>
      </c>
      <c r="M66" s="485"/>
      <c r="N66" s="476">
        <f t="shared" si="11"/>
        <v>0</v>
      </c>
      <c r="O66" s="476">
        <f t="shared" si="12"/>
        <v>0</v>
      </c>
      <c r="P66" s="241"/>
    </row>
    <row r="67" spans="2:16">
      <c r="B67" s="160" t="str">
        <f t="shared" si="7"/>
        <v/>
      </c>
      <c r="C67" s="470">
        <f>IF(D11="","-",+C66+1)</f>
        <v>2063</v>
      </c>
      <c r="D67" s="483">
        <f>IF(F66+SUM(E$17:E66)=D$10,F66,D$10-SUM(E$17:E66))</f>
        <v>0</v>
      </c>
      <c r="E67" s="482">
        <f t="shared" si="5"/>
        <v>0</v>
      </c>
      <c r="F67" s="483">
        <f t="shared" si="27"/>
        <v>0</v>
      </c>
      <c r="G67" s="484">
        <f t="shared" si="28"/>
        <v>0</v>
      </c>
      <c r="H67" s="453">
        <f t="shared" si="29"/>
        <v>0</v>
      </c>
      <c r="I67" s="473">
        <f t="shared" si="6"/>
        <v>0</v>
      </c>
      <c r="J67" s="473"/>
      <c r="K67" s="485"/>
      <c r="L67" s="476">
        <f t="shared" si="30"/>
        <v>0</v>
      </c>
      <c r="M67" s="485"/>
      <c r="N67" s="476">
        <f t="shared" si="11"/>
        <v>0</v>
      </c>
      <c r="O67" s="476">
        <f t="shared" si="12"/>
        <v>0</v>
      </c>
      <c r="P67" s="241"/>
    </row>
    <row r="68" spans="2:16">
      <c r="B68" s="160" t="str">
        <f t="shared" si="7"/>
        <v/>
      </c>
      <c r="C68" s="470">
        <f>IF(D11="","-",+C67+1)</f>
        <v>2064</v>
      </c>
      <c r="D68" s="483">
        <f>IF(F67+SUM(E$17:E67)=D$10,F67,D$10-SUM(E$17:E67))</f>
        <v>0</v>
      </c>
      <c r="E68" s="482">
        <f t="shared" si="5"/>
        <v>0</v>
      </c>
      <c r="F68" s="483">
        <f t="shared" si="27"/>
        <v>0</v>
      </c>
      <c r="G68" s="484">
        <f t="shared" si="28"/>
        <v>0</v>
      </c>
      <c r="H68" s="453">
        <f t="shared" si="29"/>
        <v>0</v>
      </c>
      <c r="I68" s="473">
        <f t="shared" si="6"/>
        <v>0</v>
      </c>
      <c r="J68" s="473"/>
      <c r="K68" s="485"/>
      <c r="L68" s="476">
        <f t="shared" si="30"/>
        <v>0</v>
      </c>
      <c r="M68" s="485"/>
      <c r="N68" s="476">
        <f t="shared" si="11"/>
        <v>0</v>
      </c>
      <c r="O68" s="476">
        <f t="shared" si="12"/>
        <v>0</v>
      </c>
      <c r="P68" s="241"/>
    </row>
    <row r="69" spans="2:16">
      <c r="B69" s="160" t="str">
        <f t="shared" si="7"/>
        <v/>
      </c>
      <c r="C69" s="470">
        <f>IF(D11="","-",+C68+1)</f>
        <v>2065</v>
      </c>
      <c r="D69" s="483">
        <f>IF(F68+SUM(E$17:E68)=D$10,F68,D$10-SUM(E$17:E68))</f>
        <v>0</v>
      </c>
      <c r="E69" s="482">
        <f t="shared" si="5"/>
        <v>0</v>
      </c>
      <c r="F69" s="483">
        <f t="shared" si="27"/>
        <v>0</v>
      </c>
      <c r="G69" s="484">
        <f t="shared" si="28"/>
        <v>0</v>
      </c>
      <c r="H69" s="453">
        <f t="shared" si="29"/>
        <v>0</v>
      </c>
      <c r="I69" s="473">
        <f t="shared" si="6"/>
        <v>0</v>
      </c>
      <c r="J69" s="473"/>
      <c r="K69" s="485"/>
      <c r="L69" s="476">
        <f t="shared" si="30"/>
        <v>0</v>
      </c>
      <c r="M69" s="485"/>
      <c r="N69" s="476">
        <f t="shared" si="11"/>
        <v>0</v>
      </c>
      <c r="O69" s="476">
        <f t="shared" si="12"/>
        <v>0</v>
      </c>
      <c r="P69" s="241"/>
    </row>
    <row r="70" spans="2:16">
      <c r="B70" s="160" t="str">
        <f t="shared" si="7"/>
        <v/>
      </c>
      <c r="C70" s="470">
        <f>IF(D11="","-",+C69+1)</f>
        <v>2066</v>
      </c>
      <c r="D70" s="483">
        <f>IF(F69+SUM(E$17:E69)=D$10,F69,D$10-SUM(E$17:E69))</f>
        <v>0</v>
      </c>
      <c r="E70" s="482">
        <f t="shared" si="5"/>
        <v>0</v>
      </c>
      <c r="F70" s="483">
        <f t="shared" si="27"/>
        <v>0</v>
      </c>
      <c r="G70" s="484">
        <f t="shared" si="28"/>
        <v>0</v>
      </c>
      <c r="H70" s="453">
        <f t="shared" si="29"/>
        <v>0</v>
      </c>
      <c r="I70" s="473">
        <f t="shared" si="6"/>
        <v>0</v>
      </c>
      <c r="J70" s="473"/>
      <c r="K70" s="485"/>
      <c r="L70" s="476">
        <f t="shared" si="30"/>
        <v>0</v>
      </c>
      <c r="M70" s="485"/>
      <c r="N70" s="476">
        <f t="shared" si="11"/>
        <v>0</v>
      </c>
      <c r="O70" s="476">
        <f t="shared" si="12"/>
        <v>0</v>
      </c>
      <c r="P70" s="241"/>
    </row>
    <row r="71" spans="2:16">
      <c r="B71" s="160" t="str">
        <f t="shared" si="7"/>
        <v/>
      </c>
      <c r="C71" s="470">
        <f>IF(D11="","-",+C70+1)</f>
        <v>2067</v>
      </c>
      <c r="D71" s="483">
        <f>IF(F70+SUM(E$17:E70)=D$10,F70,D$10-SUM(E$17:E70))</f>
        <v>0</v>
      </c>
      <c r="E71" s="482">
        <f t="shared" si="5"/>
        <v>0</v>
      </c>
      <c r="F71" s="483">
        <f t="shared" si="27"/>
        <v>0</v>
      </c>
      <c r="G71" s="484">
        <f t="shared" si="28"/>
        <v>0</v>
      </c>
      <c r="H71" s="453">
        <f t="shared" si="29"/>
        <v>0</v>
      </c>
      <c r="I71" s="473">
        <f t="shared" si="6"/>
        <v>0</v>
      </c>
      <c r="J71" s="473"/>
      <c r="K71" s="485"/>
      <c r="L71" s="476">
        <f t="shared" si="30"/>
        <v>0</v>
      </c>
      <c r="M71" s="485"/>
      <c r="N71" s="476">
        <f t="shared" si="11"/>
        <v>0</v>
      </c>
      <c r="O71" s="476">
        <f t="shared" si="12"/>
        <v>0</v>
      </c>
      <c r="P71" s="241"/>
    </row>
    <row r="72" spans="2:16" ht="13.5" thickBot="1">
      <c r="B72" s="160" t="str">
        <f t="shared" si="7"/>
        <v/>
      </c>
      <c r="C72" s="487">
        <f>IF(D11="","-",+C71+1)</f>
        <v>2068</v>
      </c>
      <c r="D72" s="483">
        <f>IF(F71+SUM(E$17:E71)=D$10,F71,D$10-SUM(E$17:E71))</f>
        <v>0</v>
      </c>
      <c r="E72" s="482">
        <f t="shared" si="5"/>
        <v>0</v>
      </c>
      <c r="F72" s="483">
        <f t="shared" si="27"/>
        <v>0</v>
      </c>
      <c r="G72" s="484">
        <f t="shared" si="28"/>
        <v>0</v>
      </c>
      <c r="H72" s="453">
        <f t="shared" si="29"/>
        <v>0</v>
      </c>
      <c r="I72" s="473">
        <f t="shared" si="6"/>
        <v>0</v>
      </c>
      <c r="J72" s="473"/>
      <c r="K72" s="492"/>
      <c r="L72" s="493">
        <f t="shared" si="30"/>
        <v>0</v>
      </c>
      <c r="M72" s="492"/>
      <c r="N72" s="493">
        <f t="shared" si="11"/>
        <v>0</v>
      </c>
      <c r="O72" s="493">
        <f t="shared" si="12"/>
        <v>0</v>
      </c>
      <c r="P72" s="241"/>
    </row>
    <row r="73" spans="2:16">
      <c r="C73" s="345" t="s">
        <v>77</v>
      </c>
      <c r="D73" s="346"/>
      <c r="E73" s="346">
        <f>SUM(E17:E72)</f>
        <v>1035551.9999999994</v>
      </c>
      <c r="F73" s="346"/>
      <c r="G73" s="346">
        <f>SUM(G17:G72)</f>
        <v>5067893.2712497041</v>
      </c>
      <c r="H73" s="346">
        <f>SUM(H17:H72)</f>
        <v>5067893.2712497041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14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104126</v>
      </c>
      <c r="N87" s="506">
        <f>IF(J92&lt;D11,0,VLOOKUP(J92,C17:O72,11))</f>
        <v>104126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117139.50278773616</v>
      </c>
      <c r="N88" s="510">
        <f>IF(J92&lt;D11,0,VLOOKUP(J92,C99:P154,7))</f>
        <v>117139.50278773616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Ashdown West - Craig Junction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13013.502787736157</v>
      </c>
      <c r="N89" s="515">
        <f>+N88-N87</f>
        <v>13013.502787736157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TP2009092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445">
        <f>+D10</f>
        <v>1035552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602" t="s">
        <v>271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f>+D12</f>
        <v>2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25257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 t="str">
        <f>IF(D93= "","-",D93)</f>
        <v>2013</v>
      </c>
      <c r="D99" s="582">
        <v>0</v>
      </c>
      <c r="E99" s="583">
        <v>16595</v>
      </c>
      <c r="F99" s="584">
        <v>1018741</v>
      </c>
      <c r="G99" s="603">
        <v>509371</v>
      </c>
      <c r="H99" s="604">
        <v>89910</v>
      </c>
      <c r="I99" s="605">
        <v>89910</v>
      </c>
      <c r="J99" s="476">
        <v>0</v>
      </c>
      <c r="K99" s="476"/>
      <c r="L99" s="474">
        <f t="shared" ref="L99:L104" si="31">H99</f>
        <v>89910</v>
      </c>
      <c r="M99" s="347">
        <f t="shared" ref="M99:M104" si="32">IF(L99&lt;&gt;0,+H99-L99,0)</f>
        <v>0</v>
      </c>
      <c r="N99" s="474">
        <f t="shared" ref="N99:N104" si="33">I99</f>
        <v>89910</v>
      </c>
      <c r="O99" s="473">
        <f t="shared" ref="O99:O104" si="34">IF(N99&lt;&gt;0,+I99-N99,0)</f>
        <v>0</v>
      </c>
      <c r="P99" s="476">
        <f t="shared" ref="P99:P104" si="35">+O99-M99</f>
        <v>0</v>
      </c>
    </row>
    <row r="100" spans="1:16">
      <c r="B100" s="160" t="str">
        <f>IF(D100=F99,"","IU")</f>
        <v>IU</v>
      </c>
      <c r="C100" s="470">
        <f>IF(D93="","-",+C99+1)</f>
        <v>2014</v>
      </c>
      <c r="D100" s="582">
        <v>1018957</v>
      </c>
      <c r="E100" s="583">
        <v>19914</v>
      </c>
      <c r="F100" s="584">
        <v>999043</v>
      </c>
      <c r="G100" s="584">
        <v>1009000</v>
      </c>
      <c r="H100" s="583">
        <v>161775</v>
      </c>
      <c r="I100" s="585">
        <v>161775</v>
      </c>
      <c r="J100" s="476">
        <f>+I100-H100</f>
        <v>0</v>
      </c>
      <c r="K100" s="476"/>
      <c r="L100" s="474">
        <f t="shared" si="31"/>
        <v>161775</v>
      </c>
      <c r="M100" s="347">
        <f t="shared" si="32"/>
        <v>0</v>
      </c>
      <c r="N100" s="474">
        <f t="shared" si="33"/>
        <v>161775</v>
      </c>
      <c r="O100" s="473">
        <f t="shared" si="34"/>
        <v>0</v>
      </c>
      <c r="P100" s="476">
        <f t="shared" si="35"/>
        <v>0</v>
      </c>
    </row>
    <row r="101" spans="1:16">
      <c r="B101" s="160" t="str">
        <f t="shared" ref="B101:B154" si="36">IF(D101=F100,"","IU")</f>
        <v/>
      </c>
      <c r="C101" s="470">
        <f>IF(D93="","-",+C100+1)</f>
        <v>2015</v>
      </c>
      <c r="D101" s="582">
        <v>999043</v>
      </c>
      <c r="E101" s="583">
        <v>19914</v>
      </c>
      <c r="F101" s="584">
        <v>979129</v>
      </c>
      <c r="G101" s="584">
        <v>989086</v>
      </c>
      <c r="H101" s="583">
        <v>154866.83205665913</v>
      </c>
      <c r="I101" s="585">
        <v>154866.83205665913</v>
      </c>
      <c r="J101" s="476">
        <f>+I101-H101</f>
        <v>0</v>
      </c>
      <c r="K101" s="476"/>
      <c r="L101" s="474">
        <f t="shared" si="31"/>
        <v>154866.83205665913</v>
      </c>
      <c r="M101" s="347">
        <f t="shared" si="32"/>
        <v>0</v>
      </c>
      <c r="N101" s="474">
        <f t="shared" si="33"/>
        <v>154866.83205665913</v>
      </c>
      <c r="O101" s="473">
        <f t="shared" si="34"/>
        <v>0</v>
      </c>
      <c r="P101" s="476">
        <f t="shared" si="35"/>
        <v>0</v>
      </c>
    </row>
    <row r="102" spans="1:16">
      <c r="B102" s="160" t="str">
        <f t="shared" si="36"/>
        <v/>
      </c>
      <c r="C102" s="470">
        <f>IF(D93="","-",+C101+1)</f>
        <v>2016</v>
      </c>
      <c r="D102" s="582">
        <v>979129</v>
      </c>
      <c r="E102" s="583">
        <v>22512</v>
      </c>
      <c r="F102" s="584">
        <v>956617</v>
      </c>
      <c r="G102" s="584">
        <v>967873</v>
      </c>
      <c r="H102" s="583">
        <v>147286.07261026395</v>
      </c>
      <c r="I102" s="585">
        <v>147286.07261026395</v>
      </c>
      <c r="J102" s="476">
        <f t="shared" ref="J102:J154" si="37">+I102-H102</f>
        <v>0</v>
      </c>
      <c r="K102" s="476"/>
      <c r="L102" s="474">
        <f t="shared" si="31"/>
        <v>147286.07261026395</v>
      </c>
      <c r="M102" s="347">
        <f t="shared" si="32"/>
        <v>0</v>
      </c>
      <c r="N102" s="474">
        <f t="shared" si="33"/>
        <v>147286.07261026395</v>
      </c>
      <c r="O102" s="473">
        <f t="shared" si="34"/>
        <v>0</v>
      </c>
      <c r="P102" s="476">
        <f t="shared" si="35"/>
        <v>0</v>
      </c>
    </row>
    <row r="103" spans="1:16">
      <c r="B103" s="160" t="str">
        <f t="shared" si="36"/>
        <v/>
      </c>
      <c r="C103" s="470">
        <f>IF(D93="","-",+C102+1)</f>
        <v>2017</v>
      </c>
      <c r="D103" s="582">
        <v>956617</v>
      </c>
      <c r="E103" s="583">
        <v>22512</v>
      </c>
      <c r="F103" s="584">
        <v>934105</v>
      </c>
      <c r="G103" s="584">
        <v>945361</v>
      </c>
      <c r="H103" s="583">
        <v>142433.42657860837</v>
      </c>
      <c r="I103" s="585">
        <v>142433.42657860837</v>
      </c>
      <c r="J103" s="476">
        <f t="shared" si="37"/>
        <v>0</v>
      </c>
      <c r="K103" s="476"/>
      <c r="L103" s="474">
        <f t="shared" si="31"/>
        <v>142433.42657860837</v>
      </c>
      <c r="M103" s="347">
        <f t="shared" si="32"/>
        <v>0</v>
      </c>
      <c r="N103" s="474">
        <f t="shared" si="33"/>
        <v>142433.42657860837</v>
      </c>
      <c r="O103" s="473">
        <f t="shared" si="34"/>
        <v>0</v>
      </c>
      <c r="P103" s="476">
        <f t="shared" si="35"/>
        <v>0</v>
      </c>
    </row>
    <row r="104" spans="1:16">
      <c r="B104" s="160" t="str">
        <f t="shared" si="36"/>
        <v/>
      </c>
      <c r="C104" s="470">
        <f>IF(D93="","-",+C103+1)</f>
        <v>2018</v>
      </c>
      <c r="D104" s="582">
        <v>934105</v>
      </c>
      <c r="E104" s="583">
        <v>24083</v>
      </c>
      <c r="F104" s="584">
        <v>910022</v>
      </c>
      <c r="G104" s="584">
        <v>922063.5</v>
      </c>
      <c r="H104" s="583">
        <v>118811.71632291189</v>
      </c>
      <c r="I104" s="585">
        <v>118811.71632291189</v>
      </c>
      <c r="J104" s="476">
        <f t="shared" si="37"/>
        <v>0</v>
      </c>
      <c r="K104" s="476"/>
      <c r="L104" s="474">
        <f t="shared" si="31"/>
        <v>118811.71632291189</v>
      </c>
      <c r="M104" s="347">
        <f t="shared" si="32"/>
        <v>0</v>
      </c>
      <c r="N104" s="474">
        <f t="shared" si="33"/>
        <v>118811.71632291189</v>
      </c>
      <c r="O104" s="473">
        <f t="shared" si="34"/>
        <v>0</v>
      </c>
      <c r="P104" s="476">
        <f t="shared" si="35"/>
        <v>0</v>
      </c>
    </row>
    <row r="105" spans="1:16">
      <c r="B105" s="160" t="str">
        <f t="shared" si="36"/>
        <v/>
      </c>
      <c r="C105" s="470">
        <f>IF(D93="","-",+C104+1)</f>
        <v>2019</v>
      </c>
      <c r="D105" s="582">
        <v>910022</v>
      </c>
      <c r="E105" s="583">
        <v>25257</v>
      </c>
      <c r="F105" s="584">
        <v>884765</v>
      </c>
      <c r="G105" s="584">
        <v>897393.5</v>
      </c>
      <c r="H105" s="583">
        <v>117790.85676358812</v>
      </c>
      <c r="I105" s="585">
        <v>117790.85676358812</v>
      </c>
      <c r="J105" s="476">
        <f t="shared" si="37"/>
        <v>0</v>
      </c>
      <c r="K105" s="476"/>
      <c r="L105" s="474">
        <f t="shared" ref="L105:L106" si="38">H105</f>
        <v>117790.85676358812</v>
      </c>
      <c r="M105" s="347">
        <f t="shared" ref="M105:M106" si="39">IF(L105&lt;&gt;0,+H105-L105,0)</f>
        <v>0</v>
      </c>
      <c r="N105" s="474">
        <f t="shared" ref="N105:N106" si="40">I105</f>
        <v>117790.85676358812</v>
      </c>
      <c r="O105" s="476">
        <f t="shared" ref="O105:O130" si="41">IF(N105&lt;&gt;0,+I105-N105,0)</f>
        <v>0</v>
      </c>
      <c r="P105" s="476">
        <f t="shared" ref="P105:P130" si="42">+O105-M105</f>
        <v>0</v>
      </c>
    </row>
    <row r="106" spans="1:16">
      <c r="B106" s="160" t="str">
        <f t="shared" si="36"/>
        <v/>
      </c>
      <c r="C106" s="470">
        <f>IF(D93="","-",+C105+1)</f>
        <v>2020</v>
      </c>
      <c r="D106" s="582">
        <v>884765</v>
      </c>
      <c r="E106" s="583">
        <v>24083</v>
      </c>
      <c r="F106" s="584">
        <v>860682</v>
      </c>
      <c r="G106" s="584">
        <v>872723.5</v>
      </c>
      <c r="H106" s="583">
        <v>124705.62019457563</v>
      </c>
      <c r="I106" s="585">
        <v>124705.62019457563</v>
      </c>
      <c r="J106" s="476">
        <f t="shared" si="37"/>
        <v>0</v>
      </c>
      <c r="K106" s="476"/>
      <c r="L106" s="474">
        <f t="shared" si="38"/>
        <v>124705.62019457563</v>
      </c>
      <c r="M106" s="347">
        <f t="shared" si="39"/>
        <v>0</v>
      </c>
      <c r="N106" s="474">
        <f t="shared" si="40"/>
        <v>124705.62019457563</v>
      </c>
      <c r="O106" s="476">
        <f t="shared" si="41"/>
        <v>0</v>
      </c>
      <c r="P106" s="476">
        <f t="shared" si="42"/>
        <v>0</v>
      </c>
    </row>
    <row r="107" spans="1:16">
      <c r="B107" s="160" t="str">
        <f t="shared" si="36"/>
        <v/>
      </c>
      <c r="C107" s="470">
        <f>IF(D93="","-",+C106+1)</f>
        <v>2021</v>
      </c>
      <c r="D107" s="582">
        <v>860682</v>
      </c>
      <c r="E107" s="583">
        <v>25257</v>
      </c>
      <c r="F107" s="584">
        <v>835425</v>
      </c>
      <c r="G107" s="584">
        <v>848053.5</v>
      </c>
      <c r="H107" s="583">
        <v>121759.37640510849</v>
      </c>
      <c r="I107" s="585">
        <v>121759.37640510849</v>
      </c>
      <c r="J107" s="476">
        <f t="shared" si="37"/>
        <v>0</v>
      </c>
      <c r="K107" s="476"/>
      <c r="L107" s="474">
        <f t="shared" ref="L107" si="43">H107</f>
        <v>121759.37640510849</v>
      </c>
      <c r="M107" s="347">
        <f t="shared" ref="M107" si="44">IF(L107&lt;&gt;0,+H107-L107,0)</f>
        <v>0</v>
      </c>
      <c r="N107" s="474">
        <f t="shared" ref="N107" si="45">I107</f>
        <v>121759.37640510849</v>
      </c>
      <c r="O107" s="476">
        <f t="shared" ref="O107" si="46">IF(N107&lt;&gt;0,+I107-N107,0)</f>
        <v>0</v>
      </c>
      <c r="P107" s="476">
        <f t="shared" ref="P107" si="47">+O107-M107</f>
        <v>0</v>
      </c>
    </row>
    <row r="108" spans="1:16">
      <c r="B108" s="160" t="str">
        <f t="shared" si="36"/>
        <v/>
      </c>
      <c r="C108" s="631">
        <f>IF(D93="","-",+C107+1)</f>
        <v>2022</v>
      </c>
      <c r="D108" s="345">
        <v>835425</v>
      </c>
      <c r="E108" s="482">
        <v>26553</v>
      </c>
      <c r="F108" s="483">
        <v>808872</v>
      </c>
      <c r="G108" s="483">
        <v>822148.5</v>
      </c>
      <c r="H108" s="486">
        <v>117139.50278773616</v>
      </c>
      <c r="I108" s="540">
        <v>117139.50278773616</v>
      </c>
      <c r="J108" s="476">
        <f t="shared" si="37"/>
        <v>0</v>
      </c>
      <c r="K108" s="476"/>
      <c r="L108" s="485"/>
      <c r="M108" s="476">
        <f t="shared" ref="M108:M130" si="48">IF(L108&lt;&gt;0,+H108-L108,0)</f>
        <v>0</v>
      </c>
      <c r="N108" s="485"/>
      <c r="O108" s="476">
        <f t="shared" si="41"/>
        <v>0</v>
      </c>
      <c r="P108" s="476">
        <f t="shared" si="42"/>
        <v>0</v>
      </c>
    </row>
    <row r="109" spans="1:16">
      <c r="B109" s="160" t="str">
        <f t="shared" si="36"/>
        <v/>
      </c>
      <c r="C109" s="470">
        <f>IF(D93="","-",+C108+1)</f>
        <v>2023</v>
      </c>
      <c r="D109" s="345">
        <f>IF(F108+SUM(E$99:E108)=D$92,F108,D$92-SUM(E$99:E108))</f>
        <v>808872</v>
      </c>
      <c r="E109" s="482">
        <f t="shared" ref="E109:E154" si="49">IF(+J$96&lt;F108,J$96,D109)</f>
        <v>25257</v>
      </c>
      <c r="F109" s="483">
        <f t="shared" ref="F109:F154" si="50">+D109-E109</f>
        <v>783615</v>
      </c>
      <c r="G109" s="483">
        <f t="shared" ref="G109:G154" si="51">+(F109+D109)/2</f>
        <v>796243.5</v>
      </c>
      <c r="H109" s="486">
        <f t="shared" ref="H109:H154" si="52">+J$94*G109+E109</f>
        <v>115863.77179814836</v>
      </c>
      <c r="I109" s="540">
        <f t="shared" ref="I109:I154" si="53">+J$95*G109+E109</f>
        <v>115863.77179814836</v>
      </c>
      <c r="J109" s="476">
        <f t="shared" si="37"/>
        <v>0</v>
      </c>
      <c r="K109" s="476"/>
      <c r="L109" s="485"/>
      <c r="M109" s="476">
        <f t="shared" si="48"/>
        <v>0</v>
      </c>
      <c r="N109" s="485"/>
      <c r="O109" s="476">
        <f t="shared" si="41"/>
        <v>0</v>
      </c>
      <c r="P109" s="476">
        <f t="shared" si="42"/>
        <v>0</v>
      </c>
    </row>
    <row r="110" spans="1:16">
      <c r="B110" s="160" t="str">
        <f t="shared" si="36"/>
        <v/>
      </c>
      <c r="C110" s="470">
        <f>IF(D93="","-",+C109+1)</f>
        <v>2024</v>
      </c>
      <c r="D110" s="345">
        <f>IF(F109+SUM(E$99:E109)=D$92,F109,D$92-SUM(E$99:E109))</f>
        <v>783615</v>
      </c>
      <c r="E110" s="482">
        <f t="shared" si="49"/>
        <v>25257</v>
      </c>
      <c r="F110" s="483">
        <f t="shared" si="50"/>
        <v>758358</v>
      </c>
      <c r="G110" s="483">
        <f t="shared" si="51"/>
        <v>770986.5</v>
      </c>
      <c r="H110" s="486">
        <f t="shared" si="52"/>
        <v>112989.70722455267</v>
      </c>
      <c r="I110" s="540">
        <f t="shared" si="53"/>
        <v>112989.70722455267</v>
      </c>
      <c r="J110" s="476">
        <f t="shared" si="37"/>
        <v>0</v>
      </c>
      <c r="K110" s="476"/>
      <c r="L110" s="485"/>
      <c r="M110" s="476">
        <f t="shared" si="48"/>
        <v>0</v>
      </c>
      <c r="N110" s="485"/>
      <c r="O110" s="476">
        <f t="shared" si="41"/>
        <v>0</v>
      </c>
      <c r="P110" s="476">
        <f t="shared" si="42"/>
        <v>0</v>
      </c>
    </row>
    <row r="111" spans="1:16">
      <c r="B111" s="160" t="str">
        <f t="shared" si="36"/>
        <v/>
      </c>
      <c r="C111" s="470">
        <f>IF(D93="","-",+C110+1)</f>
        <v>2025</v>
      </c>
      <c r="D111" s="345">
        <f>IF(F110+SUM(E$99:E110)=D$92,F110,D$92-SUM(E$99:E110))</f>
        <v>758358</v>
      </c>
      <c r="E111" s="482">
        <f t="shared" si="49"/>
        <v>25257</v>
      </c>
      <c r="F111" s="483">
        <f t="shared" si="50"/>
        <v>733101</v>
      </c>
      <c r="G111" s="483">
        <f t="shared" si="51"/>
        <v>745729.5</v>
      </c>
      <c r="H111" s="486">
        <f t="shared" si="52"/>
        <v>110115.64265095699</v>
      </c>
      <c r="I111" s="540">
        <f t="shared" si="53"/>
        <v>110115.64265095699</v>
      </c>
      <c r="J111" s="476">
        <f t="shared" si="37"/>
        <v>0</v>
      </c>
      <c r="K111" s="476"/>
      <c r="L111" s="485"/>
      <c r="M111" s="476">
        <f t="shared" si="48"/>
        <v>0</v>
      </c>
      <c r="N111" s="485"/>
      <c r="O111" s="476">
        <f t="shared" si="41"/>
        <v>0</v>
      </c>
      <c r="P111" s="476">
        <f t="shared" si="42"/>
        <v>0</v>
      </c>
    </row>
    <row r="112" spans="1:16">
      <c r="B112" s="160" t="str">
        <f t="shared" si="36"/>
        <v/>
      </c>
      <c r="C112" s="470">
        <f>IF(D93="","-",+C111+1)</f>
        <v>2026</v>
      </c>
      <c r="D112" s="345">
        <f>IF(F111+SUM(E$99:E111)=D$92,F111,D$92-SUM(E$99:E111))</f>
        <v>733101</v>
      </c>
      <c r="E112" s="482">
        <f t="shared" si="49"/>
        <v>25257</v>
      </c>
      <c r="F112" s="483">
        <f t="shared" si="50"/>
        <v>707844</v>
      </c>
      <c r="G112" s="483">
        <f t="shared" si="51"/>
        <v>720472.5</v>
      </c>
      <c r="H112" s="486">
        <f t="shared" si="52"/>
        <v>107241.57807736131</v>
      </c>
      <c r="I112" s="540">
        <f t="shared" si="53"/>
        <v>107241.57807736131</v>
      </c>
      <c r="J112" s="476">
        <f t="shared" si="37"/>
        <v>0</v>
      </c>
      <c r="K112" s="476"/>
      <c r="L112" s="485"/>
      <c r="M112" s="476">
        <f t="shared" si="48"/>
        <v>0</v>
      </c>
      <c r="N112" s="485"/>
      <c r="O112" s="476">
        <f t="shared" si="41"/>
        <v>0</v>
      </c>
      <c r="P112" s="476">
        <f t="shared" si="42"/>
        <v>0</v>
      </c>
    </row>
    <row r="113" spans="2:16">
      <c r="B113" s="160" t="str">
        <f t="shared" si="36"/>
        <v/>
      </c>
      <c r="C113" s="470">
        <f>IF(D93="","-",+C112+1)</f>
        <v>2027</v>
      </c>
      <c r="D113" s="345">
        <f>IF(F112+SUM(E$99:E112)=D$92,F112,D$92-SUM(E$99:E112))</f>
        <v>707844</v>
      </c>
      <c r="E113" s="482">
        <f t="shared" si="49"/>
        <v>25257</v>
      </c>
      <c r="F113" s="483">
        <f t="shared" si="50"/>
        <v>682587</v>
      </c>
      <c r="G113" s="483">
        <f t="shared" si="51"/>
        <v>695215.5</v>
      </c>
      <c r="H113" s="486">
        <f t="shared" si="52"/>
        <v>104367.51350376563</v>
      </c>
      <c r="I113" s="540">
        <f t="shared" si="53"/>
        <v>104367.51350376563</v>
      </c>
      <c r="J113" s="476">
        <f t="shared" si="37"/>
        <v>0</v>
      </c>
      <c r="K113" s="476"/>
      <c r="L113" s="485"/>
      <c r="M113" s="476">
        <f t="shared" si="48"/>
        <v>0</v>
      </c>
      <c r="N113" s="485"/>
      <c r="O113" s="476">
        <f t="shared" si="41"/>
        <v>0</v>
      </c>
      <c r="P113" s="476">
        <f t="shared" si="42"/>
        <v>0</v>
      </c>
    </row>
    <row r="114" spans="2:16">
      <c r="B114" s="160" t="str">
        <f t="shared" si="36"/>
        <v/>
      </c>
      <c r="C114" s="470">
        <f>IF(D93="","-",+C113+1)</f>
        <v>2028</v>
      </c>
      <c r="D114" s="345">
        <f>IF(F113+SUM(E$99:E113)=D$92,F113,D$92-SUM(E$99:E113))</f>
        <v>682587</v>
      </c>
      <c r="E114" s="482">
        <f t="shared" si="49"/>
        <v>25257</v>
      </c>
      <c r="F114" s="483">
        <f t="shared" si="50"/>
        <v>657330</v>
      </c>
      <c r="G114" s="483">
        <f t="shared" si="51"/>
        <v>669958.5</v>
      </c>
      <c r="H114" s="486">
        <f t="shared" si="52"/>
        <v>101493.44893016995</v>
      </c>
      <c r="I114" s="540">
        <f t="shared" si="53"/>
        <v>101493.44893016995</v>
      </c>
      <c r="J114" s="476">
        <f t="shared" si="37"/>
        <v>0</v>
      </c>
      <c r="K114" s="476"/>
      <c r="L114" s="485"/>
      <c r="M114" s="476">
        <f t="shared" si="48"/>
        <v>0</v>
      </c>
      <c r="N114" s="485"/>
      <c r="O114" s="476">
        <f t="shared" si="41"/>
        <v>0</v>
      </c>
      <c r="P114" s="476">
        <f t="shared" si="42"/>
        <v>0</v>
      </c>
    </row>
    <row r="115" spans="2:16">
      <c r="B115" s="160" t="str">
        <f t="shared" si="36"/>
        <v/>
      </c>
      <c r="C115" s="470">
        <f>IF(D93="","-",+C114+1)</f>
        <v>2029</v>
      </c>
      <c r="D115" s="345">
        <f>IF(F114+SUM(E$99:E114)=D$92,F114,D$92-SUM(E$99:E114))</f>
        <v>657330</v>
      </c>
      <c r="E115" s="482">
        <f t="shared" si="49"/>
        <v>25257</v>
      </c>
      <c r="F115" s="483">
        <f t="shared" si="50"/>
        <v>632073</v>
      </c>
      <c r="G115" s="483">
        <f t="shared" si="51"/>
        <v>644701.5</v>
      </c>
      <c r="H115" s="486">
        <f t="shared" si="52"/>
        <v>98619.384356574257</v>
      </c>
      <c r="I115" s="540">
        <f t="shared" si="53"/>
        <v>98619.384356574257</v>
      </c>
      <c r="J115" s="476">
        <f t="shared" si="37"/>
        <v>0</v>
      </c>
      <c r="K115" s="476"/>
      <c r="L115" s="485"/>
      <c r="M115" s="476">
        <f t="shared" si="48"/>
        <v>0</v>
      </c>
      <c r="N115" s="485"/>
      <c r="O115" s="476">
        <f t="shared" si="41"/>
        <v>0</v>
      </c>
      <c r="P115" s="476">
        <f t="shared" si="42"/>
        <v>0</v>
      </c>
    </row>
    <row r="116" spans="2:16">
      <c r="B116" s="160" t="str">
        <f t="shared" si="36"/>
        <v/>
      </c>
      <c r="C116" s="470">
        <f>IF(D93="","-",+C115+1)</f>
        <v>2030</v>
      </c>
      <c r="D116" s="345">
        <f>IF(F115+SUM(E$99:E115)=D$92,F115,D$92-SUM(E$99:E115))</f>
        <v>632073</v>
      </c>
      <c r="E116" s="482">
        <f t="shared" si="49"/>
        <v>25257</v>
      </c>
      <c r="F116" s="483">
        <f t="shared" si="50"/>
        <v>606816</v>
      </c>
      <c r="G116" s="483">
        <f t="shared" si="51"/>
        <v>619444.5</v>
      </c>
      <c r="H116" s="486">
        <f t="shared" si="52"/>
        <v>95745.319782978579</v>
      </c>
      <c r="I116" s="540">
        <f t="shared" si="53"/>
        <v>95745.319782978579</v>
      </c>
      <c r="J116" s="476">
        <f t="shared" si="37"/>
        <v>0</v>
      </c>
      <c r="K116" s="476"/>
      <c r="L116" s="485"/>
      <c r="M116" s="476">
        <f t="shared" si="48"/>
        <v>0</v>
      </c>
      <c r="N116" s="485"/>
      <c r="O116" s="476">
        <f t="shared" si="41"/>
        <v>0</v>
      </c>
      <c r="P116" s="476">
        <f t="shared" si="42"/>
        <v>0</v>
      </c>
    </row>
    <row r="117" spans="2:16">
      <c r="B117" s="160" t="str">
        <f t="shared" si="36"/>
        <v/>
      </c>
      <c r="C117" s="470">
        <f>IF(D93="","-",+C116+1)</f>
        <v>2031</v>
      </c>
      <c r="D117" s="345">
        <f>IF(F116+SUM(E$99:E116)=D$92,F116,D$92-SUM(E$99:E116))</f>
        <v>606816</v>
      </c>
      <c r="E117" s="482">
        <f t="shared" si="49"/>
        <v>25257</v>
      </c>
      <c r="F117" s="483">
        <f t="shared" si="50"/>
        <v>581559</v>
      </c>
      <c r="G117" s="483">
        <f t="shared" si="51"/>
        <v>594187.5</v>
      </c>
      <c r="H117" s="486">
        <f t="shared" si="52"/>
        <v>92871.2552093829</v>
      </c>
      <c r="I117" s="540">
        <f t="shared" si="53"/>
        <v>92871.2552093829</v>
      </c>
      <c r="J117" s="476">
        <f t="shared" si="37"/>
        <v>0</v>
      </c>
      <c r="K117" s="476"/>
      <c r="L117" s="485"/>
      <c r="M117" s="476">
        <f t="shared" si="48"/>
        <v>0</v>
      </c>
      <c r="N117" s="485"/>
      <c r="O117" s="476">
        <f t="shared" si="41"/>
        <v>0</v>
      </c>
      <c r="P117" s="476">
        <f t="shared" si="42"/>
        <v>0</v>
      </c>
    </row>
    <row r="118" spans="2:16">
      <c r="B118" s="160" t="str">
        <f t="shared" si="36"/>
        <v/>
      </c>
      <c r="C118" s="470">
        <f>IF(D93="","-",+C117+1)</f>
        <v>2032</v>
      </c>
      <c r="D118" s="345">
        <f>IF(F117+SUM(E$99:E117)=D$92,F117,D$92-SUM(E$99:E117))</f>
        <v>581559</v>
      </c>
      <c r="E118" s="482">
        <f t="shared" si="49"/>
        <v>25257</v>
      </c>
      <c r="F118" s="483">
        <f t="shared" si="50"/>
        <v>556302</v>
      </c>
      <c r="G118" s="483">
        <f t="shared" si="51"/>
        <v>568930.5</v>
      </c>
      <c r="H118" s="486">
        <f t="shared" si="52"/>
        <v>89997.190635787221</v>
      </c>
      <c r="I118" s="540">
        <f t="shared" si="53"/>
        <v>89997.190635787221</v>
      </c>
      <c r="J118" s="476">
        <f t="shared" si="37"/>
        <v>0</v>
      </c>
      <c r="K118" s="476"/>
      <c r="L118" s="485"/>
      <c r="M118" s="476">
        <f t="shared" si="48"/>
        <v>0</v>
      </c>
      <c r="N118" s="485"/>
      <c r="O118" s="476">
        <f t="shared" si="41"/>
        <v>0</v>
      </c>
      <c r="P118" s="476">
        <f t="shared" si="42"/>
        <v>0</v>
      </c>
    </row>
    <row r="119" spans="2:16">
      <c r="B119" s="160" t="str">
        <f t="shared" si="36"/>
        <v/>
      </c>
      <c r="C119" s="470">
        <f>IF(D93="","-",+C118+1)</f>
        <v>2033</v>
      </c>
      <c r="D119" s="345">
        <f>IF(F118+SUM(E$99:E118)=D$92,F118,D$92-SUM(E$99:E118))</f>
        <v>556302</v>
      </c>
      <c r="E119" s="482">
        <f t="shared" si="49"/>
        <v>25257</v>
      </c>
      <c r="F119" s="483">
        <f t="shared" si="50"/>
        <v>531045</v>
      </c>
      <c r="G119" s="483">
        <f t="shared" si="51"/>
        <v>543673.5</v>
      </c>
      <c r="H119" s="486">
        <f t="shared" si="52"/>
        <v>87123.126062191528</v>
      </c>
      <c r="I119" s="540">
        <f t="shared" si="53"/>
        <v>87123.126062191528</v>
      </c>
      <c r="J119" s="476">
        <f t="shared" si="37"/>
        <v>0</v>
      </c>
      <c r="K119" s="476"/>
      <c r="L119" s="485"/>
      <c r="M119" s="476">
        <f t="shared" si="48"/>
        <v>0</v>
      </c>
      <c r="N119" s="485"/>
      <c r="O119" s="476">
        <f t="shared" si="41"/>
        <v>0</v>
      </c>
      <c r="P119" s="476">
        <f t="shared" si="42"/>
        <v>0</v>
      </c>
    </row>
    <row r="120" spans="2:16">
      <c r="B120" s="160" t="str">
        <f t="shared" si="36"/>
        <v/>
      </c>
      <c r="C120" s="470">
        <f>IF(D93="","-",+C119+1)</f>
        <v>2034</v>
      </c>
      <c r="D120" s="345">
        <f>IF(F119+SUM(E$99:E119)=D$92,F119,D$92-SUM(E$99:E119))</f>
        <v>531045</v>
      </c>
      <c r="E120" s="482">
        <f t="shared" si="49"/>
        <v>25257</v>
      </c>
      <c r="F120" s="483">
        <f t="shared" si="50"/>
        <v>505788</v>
      </c>
      <c r="G120" s="483">
        <f t="shared" si="51"/>
        <v>518416.5</v>
      </c>
      <c r="H120" s="486">
        <f t="shared" si="52"/>
        <v>84249.061488595849</v>
      </c>
      <c r="I120" s="540">
        <f t="shared" si="53"/>
        <v>84249.061488595849</v>
      </c>
      <c r="J120" s="476">
        <f t="shared" si="37"/>
        <v>0</v>
      </c>
      <c r="K120" s="476"/>
      <c r="L120" s="485"/>
      <c r="M120" s="476">
        <f t="shared" si="48"/>
        <v>0</v>
      </c>
      <c r="N120" s="485"/>
      <c r="O120" s="476">
        <f t="shared" si="41"/>
        <v>0</v>
      </c>
      <c r="P120" s="476">
        <f t="shared" si="42"/>
        <v>0</v>
      </c>
    </row>
    <row r="121" spans="2:16">
      <c r="B121" s="160" t="str">
        <f t="shared" si="36"/>
        <v/>
      </c>
      <c r="C121" s="470">
        <f>IF(D93="","-",+C120+1)</f>
        <v>2035</v>
      </c>
      <c r="D121" s="345">
        <f>IF(F120+SUM(E$99:E120)=D$92,F120,D$92-SUM(E$99:E120))</f>
        <v>505788</v>
      </c>
      <c r="E121" s="482">
        <f t="shared" si="49"/>
        <v>25257</v>
      </c>
      <c r="F121" s="483">
        <f t="shared" si="50"/>
        <v>480531</v>
      </c>
      <c r="G121" s="483">
        <f t="shared" si="51"/>
        <v>493159.5</v>
      </c>
      <c r="H121" s="486">
        <f t="shared" si="52"/>
        <v>81374.996915000171</v>
      </c>
      <c r="I121" s="540">
        <f t="shared" si="53"/>
        <v>81374.996915000171</v>
      </c>
      <c r="J121" s="476">
        <f t="shared" si="37"/>
        <v>0</v>
      </c>
      <c r="K121" s="476"/>
      <c r="L121" s="485"/>
      <c r="M121" s="476">
        <f t="shared" si="48"/>
        <v>0</v>
      </c>
      <c r="N121" s="485"/>
      <c r="O121" s="476">
        <f t="shared" si="41"/>
        <v>0</v>
      </c>
      <c r="P121" s="476">
        <f t="shared" si="42"/>
        <v>0</v>
      </c>
    </row>
    <row r="122" spans="2:16">
      <c r="B122" s="160" t="str">
        <f t="shared" si="36"/>
        <v/>
      </c>
      <c r="C122" s="470">
        <f>IF(D93="","-",+C121+1)</f>
        <v>2036</v>
      </c>
      <c r="D122" s="345">
        <f>IF(F121+SUM(E$99:E121)=D$92,F121,D$92-SUM(E$99:E121))</f>
        <v>480531</v>
      </c>
      <c r="E122" s="482">
        <f t="shared" si="49"/>
        <v>25257</v>
      </c>
      <c r="F122" s="483">
        <f t="shared" si="50"/>
        <v>455274</v>
      </c>
      <c r="G122" s="483">
        <f t="shared" si="51"/>
        <v>467902.5</v>
      </c>
      <c r="H122" s="486">
        <f t="shared" si="52"/>
        <v>78500.932341404492</v>
      </c>
      <c r="I122" s="540">
        <f t="shared" si="53"/>
        <v>78500.932341404492</v>
      </c>
      <c r="J122" s="476">
        <f t="shared" si="37"/>
        <v>0</v>
      </c>
      <c r="K122" s="476"/>
      <c r="L122" s="485"/>
      <c r="M122" s="476">
        <f t="shared" si="48"/>
        <v>0</v>
      </c>
      <c r="N122" s="485"/>
      <c r="O122" s="476">
        <f t="shared" si="41"/>
        <v>0</v>
      </c>
      <c r="P122" s="476">
        <f t="shared" si="42"/>
        <v>0</v>
      </c>
    </row>
    <row r="123" spans="2:16">
      <c r="B123" s="160" t="str">
        <f t="shared" si="36"/>
        <v/>
      </c>
      <c r="C123" s="470">
        <f>IF(D93="","-",+C122+1)</f>
        <v>2037</v>
      </c>
      <c r="D123" s="345">
        <f>IF(F122+SUM(E$99:E122)=D$92,F122,D$92-SUM(E$99:E122))</f>
        <v>455274</v>
      </c>
      <c r="E123" s="482">
        <f t="shared" si="49"/>
        <v>25257</v>
      </c>
      <c r="F123" s="483">
        <f t="shared" si="50"/>
        <v>430017</v>
      </c>
      <c r="G123" s="483">
        <f t="shared" si="51"/>
        <v>442645.5</v>
      </c>
      <c r="H123" s="486">
        <f t="shared" si="52"/>
        <v>75626.867767808813</v>
      </c>
      <c r="I123" s="540">
        <f t="shared" si="53"/>
        <v>75626.867767808813</v>
      </c>
      <c r="J123" s="476">
        <f t="shared" si="37"/>
        <v>0</v>
      </c>
      <c r="K123" s="476"/>
      <c r="L123" s="485"/>
      <c r="M123" s="476">
        <f t="shared" si="48"/>
        <v>0</v>
      </c>
      <c r="N123" s="485"/>
      <c r="O123" s="476">
        <f t="shared" si="41"/>
        <v>0</v>
      </c>
      <c r="P123" s="476">
        <f t="shared" si="42"/>
        <v>0</v>
      </c>
    </row>
    <row r="124" spans="2:16">
      <c r="B124" s="160" t="str">
        <f t="shared" si="36"/>
        <v/>
      </c>
      <c r="C124" s="470">
        <f>IF(D93="","-",+C123+1)</f>
        <v>2038</v>
      </c>
      <c r="D124" s="345">
        <f>IF(F123+SUM(E$99:E123)=D$92,F123,D$92-SUM(E$99:E123))</f>
        <v>430017</v>
      </c>
      <c r="E124" s="482">
        <f t="shared" si="49"/>
        <v>25257</v>
      </c>
      <c r="F124" s="483">
        <f t="shared" si="50"/>
        <v>404760</v>
      </c>
      <c r="G124" s="483">
        <f t="shared" si="51"/>
        <v>417388.5</v>
      </c>
      <c r="H124" s="486">
        <f t="shared" si="52"/>
        <v>72752.803194213135</v>
      </c>
      <c r="I124" s="540">
        <f t="shared" si="53"/>
        <v>72752.803194213135</v>
      </c>
      <c r="J124" s="476">
        <f t="shared" si="37"/>
        <v>0</v>
      </c>
      <c r="K124" s="476"/>
      <c r="L124" s="485"/>
      <c r="M124" s="476">
        <f t="shared" si="48"/>
        <v>0</v>
      </c>
      <c r="N124" s="485"/>
      <c r="O124" s="476">
        <f t="shared" si="41"/>
        <v>0</v>
      </c>
      <c r="P124" s="476">
        <f t="shared" si="42"/>
        <v>0</v>
      </c>
    </row>
    <row r="125" spans="2:16">
      <c r="B125" s="160" t="str">
        <f t="shared" si="36"/>
        <v/>
      </c>
      <c r="C125" s="470">
        <f>IF(D93="","-",+C124+1)</f>
        <v>2039</v>
      </c>
      <c r="D125" s="345">
        <f>IF(F124+SUM(E$99:E124)=D$92,F124,D$92-SUM(E$99:E124))</f>
        <v>404760</v>
      </c>
      <c r="E125" s="482">
        <f t="shared" si="49"/>
        <v>25257</v>
      </c>
      <c r="F125" s="483">
        <f t="shared" si="50"/>
        <v>379503</v>
      </c>
      <c r="G125" s="483">
        <f t="shared" si="51"/>
        <v>392131.5</v>
      </c>
      <c r="H125" s="486">
        <f t="shared" si="52"/>
        <v>69878.738620617456</v>
      </c>
      <c r="I125" s="540">
        <f t="shared" si="53"/>
        <v>69878.738620617456</v>
      </c>
      <c r="J125" s="476">
        <f t="shared" si="37"/>
        <v>0</v>
      </c>
      <c r="K125" s="476"/>
      <c r="L125" s="485"/>
      <c r="M125" s="476">
        <f t="shared" si="48"/>
        <v>0</v>
      </c>
      <c r="N125" s="485"/>
      <c r="O125" s="476">
        <f t="shared" si="41"/>
        <v>0</v>
      </c>
      <c r="P125" s="476">
        <f t="shared" si="42"/>
        <v>0</v>
      </c>
    </row>
    <row r="126" spans="2:16">
      <c r="B126" s="160" t="str">
        <f t="shared" si="36"/>
        <v/>
      </c>
      <c r="C126" s="470">
        <f>IF(D93="","-",+C125+1)</f>
        <v>2040</v>
      </c>
      <c r="D126" s="345">
        <f>IF(F125+SUM(E$99:E125)=D$92,F125,D$92-SUM(E$99:E125))</f>
        <v>379503</v>
      </c>
      <c r="E126" s="482">
        <f t="shared" si="49"/>
        <v>25257</v>
      </c>
      <c r="F126" s="483">
        <f t="shared" si="50"/>
        <v>354246</v>
      </c>
      <c r="G126" s="483">
        <f t="shared" si="51"/>
        <v>366874.5</v>
      </c>
      <c r="H126" s="486">
        <f t="shared" si="52"/>
        <v>67004.674047021777</v>
      </c>
      <c r="I126" s="540">
        <f t="shared" si="53"/>
        <v>67004.674047021777</v>
      </c>
      <c r="J126" s="476">
        <f t="shared" si="37"/>
        <v>0</v>
      </c>
      <c r="K126" s="476"/>
      <c r="L126" s="485"/>
      <c r="M126" s="476">
        <f t="shared" si="48"/>
        <v>0</v>
      </c>
      <c r="N126" s="485"/>
      <c r="O126" s="476">
        <f t="shared" si="41"/>
        <v>0</v>
      </c>
      <c r="P126" s="476">
        <f t="shared" si="42"/>
        <v>0</v>
      </c>
    </row>
    <row r="127" spans="2:16">
      <c r="B127" s="160" t="str">
        <f t="shared" si="36"/>
        <v/>
      </c>
      <c r="C127" s="470">
        <f>IF(D93="","-",+C126+1)</f>
        <v>2041</v>
      </c>
      <c r="D127" s="345">
        <f>IF(F126+SUM(E$99:E126)=D$92,F126,D$92-SUM(E$99:E126))</f>
        <v>354246</v>
      </c>
      <c r="E127" s="482">
        <f t="shared" si="49"/>
        <v>25257</v>
      </c>
      <c r="F127" s="483">
        <f t="shared" si="50"/>
        <v>328989</v>
      </c>
      <c r="G127" s="483">
        <f t="shared" si="51"/>
        <v>341617.5</v>
      </c>
      <c r="H127" s="486">
        <f t="shared" si="52"/>
        <v>64130.609473426084</v>
      </c>
      <c r="I127" s="540">
        <f t="shared" si="53"/>
        <v>64130.609473426084</v>
      </c>
      <c r="J127" s="476">
        <f t="shared" si="37"/>
        <v>0</v>
      </c>
      <c r="K127" s="476"/>
      <c r="L127" s="485"/>
      <c r="M127" s="476">
        <f t="shared" si="48"/>
        <v>0</v>
      </c>
      <c r="N127" s="485"/>
      <c r="O127" s="476">
        <f t="shared" si="41"/>
        <v>0</v>
      </c>
      <c r="P127" s="476">
        <f t="shared" si="42"/>
        <v>0</v>
      </c>
    </row>
    <row r="128" spans="2:16">
      <c r="B128" s="160" t="str">
        <f t="shared" si="36"/>
        <v/>
      </c>
      <c r="C128" s="470">
        <f>IF(D93="","-",+C127+1)</f>
        <v>2042</v>
      </c>
      <c r="D128" s="345">
        <f>IF(F127+SUM(E$99:E127)=D$92,F127,D$92-SUM(E$99:E127))</f>
        <v>328989</v>
      </c>
      <c r="E128" s="482">
        <f t="shared" si="49"/>
        <v>25257</v>
      </c>
      <c r="F128" s="483">
        <f t="shared" si="50"/>
        <v>303732</v>
      </c>
      <c r="G128" s="483">
        <f t="shared" si="51"/>
        <v>316360.5</v>
      </c>
      <c r="H128" s="486">
        <f t="shared" si="52"/>
        <v>61256.544899830405</v>
      </c>
      <c r="I128" s="540">
        <f t="shared" si="53"/>
        <v>61256.544899830405</v>
      </c>
      <c r="J128" s="476">
        <f t="shared" si="37"/>
        <v>0</v>
      </c>
      <c r="K128" s="476"/>
      <c r="L128" s="485"/>
      <c r="M128" s="476">
        <f t="shared" si="48"/>
        <v>0</v>
      </c>
      <c r="N128" s="485"/>
      <c r="O128" s="476">
        <f t="shared" si="41"/>
        <v>0</v>
      </c>
      <c r="P128" s="476">
        <f t="shared" si="42"/>
        <v>0</v>
      </c>
    </row>
    <row r="129" spans="2:16">
      <c r="B129" s="160" t="str">
        <f t="shared" si="36"/>
        <v/>
      </c>
      <c r="C129" s="470">
        <f>IF(D93="","-",+C128+1)</f>
        <v>2043</v>
      </c>
      <c r="D129" s="345">
        <f>IF(F128+SUM(E$99:E128)=D$92,F128,D$92-SUM(E$99:E128))</f>
        <v>303732</v>
      </c>
      <c r="E129" s="482">
        <f t="shared" si="49"/>
        <v>25257</v>
      </c>
      <c r="F129" s="483">
        <f t="shared" si="50"/>
        <v>278475</v>
      </c>
      <c r="G129" s="483">
        <f t="shared" si="51"/>
        <v>291103.5</v>
      </c>
      <c r="H129" s="486">
        <f t="shared" si="52"/>
        <v>58382.480326234727</v>
      </c>
      <c r="I129" s="540">
        <f t="shared" si="53"/>
        <v>58382.480326234727</v>
      </c>
      <c r="J129" s="476">
        <f t="shared" si="37"/>
        <v>0</v>
      </c>
      <c r="K129" s="476"/>
      <c r="L129" s="485"/>
      <c r="M129" s="476">
        <f t="shared" si="48"/>
        <v>0</v>
      </c>
      <c r="N129" s="485"/>
      <c r="O129" s="476">
        <f t="shared" si="41"/>
        <v>0</v>
      </c>
      <c r="P129" s="476">
        <f t="shared" si="42"/>
        <v>0</v>
      </c>
    </row>
    <row r="130" spans="2:16">
      <c r="B130" s="160" t="str">
        <f t="shared" si="36"/>
        <v/>
      </c>
      <c r="C130" s="470">
        <f>IF(D93="","-",+C129+1)</f>
        <v>2044</v>
      </c>
      <c r="D130" s="345">
        <f>IF(F129+SUM(E$99:E129)=D$92,F129,D$92-SUM(E$99:E129))</f>
        <v>278475</v>
      </c>
      <c r="E130" s="482">
        <f t="shared" si="49"/>
        <v>25257</v>
      </c>
      <c r="F130" s="483">
        <f t="shared" si="50"/>
        <v>253218</v>
      </c>
      <c r="G130" s="483">
        <f t="shared" si="51"/>
        <v>265846.5</v>
      </c>
      <c r="H130" s="486">
        <f t="shared" si="52"/>
        <v>55508.415752639048</v>
      </c>
      <c r="I130" s="540">
        <f t="shared" si="53"/>
        <v>55508.415752639048</v>
      </c>
      <c r="J130" s="476">
        <f t="shared" si="37"/>
        <v>0</v>
      </c>
      <c r="K130" s="476"/>
      <c r="L130" s="485"/>
      <c r="M130" s="476">
        <f t="shared" si="48"/>
        <v>0</v>
      </c>
      <c r="N130" s="485"/>
      <c r="O130" s="476">
        <f t="shared" si="41"/>
        <v>0</v>
      </c>
      <c r="P130" s="476">
        <f t="shared" si="42"/>
        <v>0</v>
      </c>
    </row>
    <row r="131" spans="2:16">
      <c r="B131" s="160" t="str">
        <f t="shared" si="36"/>
        <v/>
      </c>
      <c r="C131" s="470">
        <f>IF(D93="","-",+C130+1)</f>
        <v>2045</v>
      </c>
      <c r="D131" s="345">
        <f>IF(F130+SUM(E$99:E130)=D$92,F130,D$92-SUM(E$99:E130))</f>
        <v>253218</v>
      </c>
      <c r="E131" s="482">
        <f t="shared" si="49"/>
        <v>25257</v>
      </c>
      <c r="F131" s="483">
        <f t="shared" si="50"/>
        <v>227961</v>
      </c>
      <c r="G131" s="483">
        <f t="shared" si="51"/>
        <v>240589.5</v>
      </c>
      <c r="H131" s="486">
        <f t="shared" si="52"/>
        <v>52634.351179043362</v>
      </c>
      <c r="I131" s="540">
        <f t="shared" si="53"/>
        <v>52634.351179043362</v>
      </c>
      <c r="J131" s="476">
        <f t="shared" si="37"/>
        <v>0</v>
      </c>
      <c r="K131" s="476"/>
      <c r="L131" s="485"/>
      <c r="M131" s="476">
        <f t="shared" ref="M131:M154" si="54">IF(L541&lt;&gt;0,+H541-L541,0)</f>
        <v>0</v>
      </c>
      <c r="N131" s="485"/>
      <c r="O131" s="476">
        <f t="shared" ref="O131:O154" si="55">IF(N541&lt;&gt;0,+I541-N541,0)</f>
        <v>0</v>
      </c>
      <c r="P131" s="476">
        <f t="shared" ref="P131:P154" si="56">+O541-M541</f>
        <v>0</v>
      </c>
    </row>
    <row r="132" spans="2:16">
      <c r="B132" s="160" t="str">
        <f t="shared" si="36"/>
        <v/>
      </c>
      <c r="C132" s="470">
        <f>IF(D93="","-",+C131+1)</f>
        <v>2046</v>
      </c>
      <c r="D132" s="345">
        <f>IF(F131+SUM(E$99:E131)=D$92,F131,D$92-SUM(E$99:E131))</f>
        <v>227961</v>
      </c>
      <c r="E132" s="482">
        <f t="shared" si="49"/>
        <v>25257</v>
      </c>
      <c r="F132" s="483">
        <f t="shared" si="50"/>
        <v>202704</v>
      </c>
      <c r="G132" s="483">
        <f t="shared" si="51"/>
        <v>215332.5</v>
      </c>
      <c r="H132" s="486">
        <f t="shared" si="52"/>
        <v>49760.286605447676</v>
      </c>
      <c r="I132" s="540">
        <f t="shared" si="53"/>
        <v>49760.286605447676</v>
      </c>
      <c r="J132" s="476">
        <f t="shared" si="37"/>
        <v>0</v>
      </c>
      <c r="K132" s="476"/>
      <c r="L132" s="485"/>
      <c r="M132" s="476">
        <f t="shared" si="54"/>
        <v>0</v>
      </c>
      <c r="N132" s="485"/>
      <c r="O132" s="476">
        <f t="shared" si="55"/>
        <v>0</v>
      </c>
      <c r="P132" s="476">
        <f t="shared" si="56"/>
        <v>0</v>
      </c>
    </row>
    <row r="133" spans="2:16">
      <c r="B133" s="160" t="str">
        <f t="shared" si="36"/>
        <v/>
      </c>
      <c r="C133" s="470">
        <f>IF(D93="","-",+C132+1)</f>
        <v>2047</v>
      </c>
      <c r="D133" s="345">
        <f>IF(F132+SUM(E$99:E132)=D$92,F132,D$92-SUM(E$99:E132))</f>
        <v>202704</v>
      </c>
      <c r="E133" s="482">
        <f t="shared" si="49"/>
        <v>25257</v>
      </c>
      <c r="F133" s="483">
        <f t="shared" si="50"/>
        <v>177447</v>
      </c>
      <c r="G133" s="483">
        <f t="shared" si="51"/>
        <v>190075.5</v>
      </c>
      <c r="H133" s="486">
        <f t="shared" si="52"/>
        <v>46886.222031851998</v>
      </c>
      <c r="I133" s="540">
        <f t="shared" si="53"/>
        <v>46886.222031851998</v>
      </c>
      <c r="J133" s="476">
        <f t="shared" si="37"/>
        <v>0</v>
      </c>
      <c r="K133" s="476"/>
      <c r="L133" s="485"/>
      <c r="M133" s="476">
        <f t="shared" si="54"/>
        <v>0</v>
      </c>
      <c r="N133" s="485"/>
      <c r="O133" s="476">
        <f t="shared" si="55"/>
        <v>0</v>
      </c>
      <c r="P133" s="476">
        <f t="shared" si="56"/>
        <v>0</v>
      </c>
    </row>
    <row r="134" spans="2:16">
      <c r="B134" s="160" t="str">
        <f t="shared" si="36"/>
        <v/>
      </c>
      <c r="C134" s="470">
        <f>IF(D93="","-",+C133+1)</f>
        <v>2048</v>
      </c>
      <c r="D134" s="345">
        <f>IF(F133+SUM(E$99:E133)=D$92,F133,D$92-SUM(E$99:E133))</f>
        <v>177447</v>
      </c>
      <c r="E134" s="482">
        <f t="shared" si="49"/>
        <v>25257</v>
      </c>
      <c r="F134" s="483">
        <f t="shared" si="50"/>
        <v>152190</v>
      </c>
      <c r="G134" s="483">
        <f t="shared" si="51"/>
        <v>164818.5</v>
      </c>
      <c r="H134" s="486">
        <f t="shared" si="52"/>
        <v>44012.157458256319</v>
      </c>
      <c r="I134" s="540">
        <f t="shared" si="53"/>
        <v>44012.157458256319</v>
      </c>
      <c r="J134" s="476">
        <f t="shared" si="37"/>
        <v>0</v>
      </c>
      <c r="K134" s="476"/>
      <c r="L134" s="485"/>
      <c r="M134" s="476">
        <f t="shared" si="54"/>
        <v>0</v>
      </c>
      <c r="N134" s="485"/>
      <c r="O134" s="476">
        <f t="shared" si="55"/>
        <v>0</v>
      </c>
      <c r="P134" s="476">
        <f t="shared" si="56"/>
        <v>0</v>
      </c>
    </row>
    <row r="135" spans="2:16">
      <c r="B135" s="160" t="str">
        <f t="shared" si="36"/>
        <v/>
      </c>
      <c r="C135" s="470">
        <f>IF(D93="","-",+C134+1)</f>
        <v>2049</v>
      </c>
      <c r="D135" s="345">
        <f>IF(F134+SUM(E$99:E134)=D$92,F134,D$92-SUM(E$99:E134))</f>
        <v>152190</v>
      </c>
      <c r="E135" s="482">
        <f t="shared" si="49"/>
        <v>25257</v>
      </c>
      <c r="F135" s="483">
        <f t="shared" si="50"/>
        <v>126933</v>
      </c>
      <c r="G135" s="483">
        <f t="shared" si="51"/>
        <v>139561.5</v>
      </c>
      <c r="H135" s="486">
        <f t="shared" si="52"/>
        <v>41138.09288466064</v>
      </c>
      <c r="I135" s="540">
        <f t="shared" si="53"/>
        <v>41138.09288466064</v>
      </c>
      <c r="J135" s="476">
        <f t="shared" si="37"/>
        <v>0</v>
      </c>
      <c r="K135" s="476"/>
      <c r="L135" s="485"/>
      <c r="M135" s="476">
        <f t="shared" si="54"/>
        <v>0</v>
      </c>
      <c r="N135" s="485"/>
      <c r="O135" s="476">
        <f t="shared" si="55"/>
        <v>0</v>
      </c>
      <c r="P135" s="476">
        <f t="shared" si="56"/>
        <v>0</v>
      </c>
    </row>
    <row r="136" spans="2:16">
      <c r="B136" s="160" t="str">
        <f t="shared" si="36"/>
        <v/>
      </c>
      <c r="C136" s="470">
        <f>IF(D93="","-",+C135+1)</f>
        <v>2050</v>
      </c>
      <c r="D136" s="345">
        <f>IF(F135+SUM(E$99:E135)=D$92,F135,D$92-SUM(E$99:E135))</f>
        <v>126933</v>
      </c>
      <c r="E136" s="482">
        <f t="shared" si="49"/>
        <v>25257</v>
      </c>
      <c r="F136" s="483">
        <f t="shared" si="50"/>
        <v>101676</v>
      </c>
      <c r="G136" s="483">
        <f t="shared" si="51"/>
        <v>114304.5</v>
      </c>
      <c r="H136" s="486">
        <f t="shared" si="52"/>
        <v>38264.028311064954</v>
      </c>
      <c r="I136" s="540">
        <f t="shared" si="53"/>
        <v>38264.028311064954</v>
      </c>
      <c r="J136" s="476">
        <f t="shared" si="37"/>
        <v>0</v>
      </c>
      <c r="K136" s="476"/>
      <c r="L136" s="485"/>
      <c r="M136" s="476">
        <f t="shared" si="54"/>
        <v>0</v>
      </c>
      <c r="N136" s="485"/>
      <c r="O136" s="476">
        <f t="shared" si="55"/>
        <v>0</v>
      </c>
      <c r="P136" s="476">
        <f t="shared" si="56"/>
        <v>0</v>
      </c>
    </row>
    <row r="137" spans="2:16">
      <c r="B137" s="160" t="str">
        <f t="shared" si="36"/>
        <v/>
      </c>
      <c r="C137" s="470">
        <f>IF(D93="","-",+C136+1)</f>
        <v>2051</v>
      </c>
      <c r="D137" s="345">
        <f>IF(F136+SUM(E$99:E136)=D$92,F136,D$92-SUM(E$99:E136))</f>
        <v>101676</v>
      </c>
      <c r="E137" s="482">
        <f t="shared" si="49"/>
        <v>25257</v>
      </c>
      <c r="F137" s="483">
        <f t="shared" si="50"/>
        <v>76419</v>
      </c>
      <c r="G137" s="483">
        <f t="shared" si="51"/>
        <v>89047.5</v>
      </c>
      <c r="H137" s="486">
        <f t="shared" si="52"/>
        <v>35389.963737469276</v>
      </c>
      <c r="I137" s="540">
        <f t="shared" si="53"/>
        <v>35389.963737469276</v>
      </c>
      <c r="J137" s="476">
        <f t="shared" si="37"/>
        <v>0</v>
      </c>
      <c r="K137" s="476"/>
      <c r="L137" s="485"/>
      <c r="M137" s="476">
        <f t="shared" si="54"/>
        <v>0</v>
      </c>
      <c r="N137" s="485"/>
      <c r="O137" s="476">
        <f t="shared" si="55"/>
        <v>0</v>
      </c>
      <c r="P137" s="476">
        <f t="shared" si="56"/>
        <v>0</v>
      </c>
    </row>
    <row r="138" spans="2:16">
      <c r="B138" s="160" t="str">
        <f t="shared" si="36"/>
        <v/>
      </c>
      <c r="C138" s="470">
        <f>IF(D93="","-",+C137+1)</f>
        <v>2052</v>
      </c>
      <c r="D138" s="345">
        <f>IF(F137+SUM(E$99:E137)=D$92,F137,D$92-SUM(E$99:E137))</f>
        <v>76419</v>
      </c>
      <c r="E138" s="482">
        <f t="shared" si="49"/>
        <v>25257</v>
      </c>
      <c r="F138" s="483">
        <f t="shared" si="50"/>
        <v>51162</v>
      </c>
      <c r="G138" s="483">
        <f t="shared" si="51"/>
        <v>63790.5</v>
      </c>
      <c r="H138" s="486">
        <f t="shared" si="52"/>
        <v>32515.89916387359</v>
      </c>
      <c r="I138" s="540">
        <f t="shared" si="53"/>
        <v>32515.89916387359</v>
      </c>
      <c r="J138" s="476">
        <f t="shared" si="37"/>
        <v>0</v>
      </c>
      <c r="K138" s="476"/>
      <c r="L138" s="485"/>
      <c r="M138" s="476">
        <f t="shared" si="54"/>
        <v>0</v>
      </c>
      <c r="N138" s="485"/>
      <c r="O138" s="476">
        <f t="shared" si="55"/>
        <v>0</v>
      </c>
      <c r="P138" s="476">
        <f t="shared" si="56"/>
        <v>0</v>
      </c>
    </row>
    <row r="139" spans="2:16">
      <c r="B139" s="160" t="str">
        <f t="shared" si="36"/>
        <v/>
      </c>
      <c r="C139" s="470">
        <f>IF(D93="","-",+C138+1)</f>
        <v>2053</v>
      </c>
      <c r="D139" s="345">
        <f>IF(F138+SUM(E$99:E138)=D$92,F138,D$92-SUM(E$99:E138))</f>
        <v>51162</v>
      </c>
      <c r="E139" s="482">
        <f t="shared" si="49"/>
        <v>25257</v>
      </c>
      <c r="F139" s="483">
        <f t="shared" si="50"/>
        <v>25905</v>
      </c>
      <c r="G139" s="483">
        <f t="shared" si="51"/>
        <v>38533.5</v>
      </c>
      <c r="H139" s="486">
        <f t="shared" si="52"/>
        <v>29641.834590277911</v>
      </c>
      <c r="I139" s="540">
        <f t="shared" si="53"/>
        <v>29641.834590277911</v>
      </c>
      <c r="J139" s="476">
        <f t="shared" si="37"/>
        <v>0</v>
      </c>
      <c r="K139" s="476"/>
      <c r="L139" s="485"/>
      <c r="M139" s="476">
        <f t="shared" si="54"/>
        <v>0</v>
      </c>
      <c r="N139" s="485"/>
      <c r="O139" s="476">
        <f t="shared" si="55"/>
        <v>0</v>
      </c>
      <c r="P139" s="476">
        <f t="shared" si="56"/>
        <v>0</v>
      </c>
    </row>
    <row r="140" spans="2:16">
      <c r="B140" s="160" t="str">
        <f t="shared" si="36"/>
        <v/>
      </c>
      <c r="C140" s="470">
        <f>IF(D93="","-",+C139+1)</f>
        <v>2054</v>
      </c>
      <c r="D140" s="345">
        <f>IF(F139+SUM(E$99:E139)=D$92,F139,D$92-SUM(E$99:E139))</f>
        <v>25905</v>
      </c>
      <c r="E140" s="482">
        <f t="shared" si="49"/>
        <v>25257</v>
      </c>
      <c r="F140" s="483">
        <f t="shared" si="50"/>
        <v>648</v>
      </c>
      <c r="G140" s="483">
        <f t="shared" si="51"/>
        <v>13276.5</v>
      </c>
      <c r="H140" s="486">
        <f t="shared" si="52"/>
        <v>26767.770016682229</v>
      </c>
      <c r="I140" s="540">
        <f t="shared" si="53"/>
        <v>26767.770016682229</v>
      </c>
      <c r="J140" s="476">
        <f t="shared" si="37"/>
        <v>0</v>
      </c>
      <c r="K140" s="476"/>
      <c r="L140" s="485"/>
      <c r="M140" s="476">
        <f t="shared" si="54"/>
        <v>0</v>
      </c>
      <c r="N140" s="485"/>
      <c r="O140" s="476">
        <f t="shared" si="55"/>
        <v>0</v>
      </c>
      <c r="P140" s="476">
        <f t="shared" si="56"/>
        <v>0</v>
      </c>
    </row>
    <row r="141" spans="2:16">
      <c r="B141" s="160" t="str">
        <f t="shared" si="36"/>
        <v/>
      </c>
      <c r="C141" s="470">
        <f>IF(D93="","-",+C140+1)</f>
        <v>2055</v>
      </c>
      <c r="D141" s="345">
        <f>IF(F140+SUM(E$99:E140)=D$92,F140,D$92-SUM(E$99:E140))</f>
        <v>648</v>
      </c>
      <c r="E141" s="482">
        <f t="shared" si="49"/>
        <v>648</v>
      </c>
      <c r="F141" s="483">
        <f t="shared" si="50"/>
        <v>0</v>
      </c>
      <c r="G141" s="483">
        <f t="shared" si="51"/>
        <v>324</v>
      </c>
      <c r="H141" s="486">
        <f t="shared" si="52"/>
        <v>684.86886494219425</v>
      </c>
      <c r="I141" s="540">
        <f t="shared" si="53"/>
        <v>684.86886494219425</v>
      </c>
      <c r="J141" s="476">
        <f t="shared" si="37"/>
        <v>0</v>
      </c>
      <c r="K141" s="476"/>
      <c r="L141" s="485"/>
      <c r="M141" s="476">
        <f t="shared" si="54"/>
        <v>0</v>
      </c>
      <c r="N141" s="485"/>
      <c r="O141" s="476">
        <f t="shared" si="55"/>
        <v>0</v>
      </c>
      <c r="P141" s="476">
        <f t="shared" si="56"/>
        <v>0</v>
      </c>
    </row>
    <row r="142" spans="2:16">
      <c r="B142" s="160" t="str">
        <f t="shared" si="36"/>
        <v/>
      </c>
      <c r="C142" s="470">
        <f>IF(D93="","-",+C141+1)</f>
        <v>2056</v>
      </c>
      <c r="D142" s="345">
        <f>IF(F141+SUM(E$99:E141)=D$92,F141,D$92-SUM(E$99:E141))</f>
        <v>0</v>
      </c>
      <c r="E142" s="482">
        <f t="shared" si="49"/>
        <v>0</v>
      </c>
      <c r="F142" s="483">
        <f t="shared" si="50"/>
        <v>0</v>
      </c>
      <c r="G142" s="483">
        <f t="shared" si="51"/>
        <v>0</v>
      </c>
      <c r="H142" s="486">
        <f t="shared" si="52"/>
        <v>0</v>
      </c>
      <c r="I142" s="540">
        <f t="shared" si="53"/>
        <v>0</v>
      </c>
      <c r="J142" s="476">
        <f t="shared" si="37"/>
        <v>0</v>
      </c>
      <c r="K142" s="476"/>
      <c r="L142" s="485"/>
      <c r="M142" s="476">
        <f t="shared" si="54"/>
        <v>0</v>
      </c>
      <c r="N142" s="485"/>
      <c r="O142" s="476">
        <f t="shared" si="55"/>
        <v>0</v>
      </c>
      <c r="P142" s="476">
        <f t="shared" si="56"/>
        <v>0</v>
      </c>
    </row>
    <row r="143" spans="2:16">
      <c r="B143" s="160" t="str">
        <f t="shared" si="36"/>
        <v/>
      </c>
      <c r="C143" s="470">
        <f>IF(D93="","-",+C142+1)</f>
        <v>2057</v>
      </c>
      <c r="D143" s="345">
        <f>IF(F142+SUM(E$99:E142)=D$92,F142,D$92-SUM(E$99:E142))</f>
        <v>0</v>
      </c>
      <c r="E143" s="482">
        <f t="shared" si="49"/>
        <v>0</v>
      </c>
      <c r="F143" s="483">
        <f t="shared" si="50"/>
        <v>0</v>
      </c>
      <c r="G143" s="483">
        <f t="shared" si="51"/>
        <v>0</v>
      </c>
      <c r="H143" s="486">
        <f t="shared" si="52"/>
        <v>0</v>
      </c>
      <c r="I143" s="540">
        <f t="shared" si="53"/>
        <v>0</v>
      </c>
      <c r="J143" s="476">
        <f t="shared" si="37"/>
        <v>0</v>
      </c>
      <c r="K143" s="476"/>
      <c r="L143" s="485"/>
      <c r="M143" s="476">
        <f t="shared" si="54"/>
        <v>0</v>
      </c>
      <c r="N143" s="485"/>
      <c r="O143" s="476">
        <f t="shared" si="55"/>
        <v>0</v>
      </c>
      <c r="P143" s="476">
        <f t="shared" si="56"/>
        <v>0</v>
      </c>
    </row>
    <row r="144" spans="2:16">
      <c r="B144" s="160" t="str">
        <f t="shared" si="36"/>
        <v/>
      </c>
      <c r="C144" s="470">
        <f>IF(D93="","-",+C143+1)</f>
        <v>2058</v>
      </c>
      <c r="D144" s="345">
        <f>IF(F143+SUM(E$99:E143)=D$92,F143,D$92-SUM(E$99:E143))</f>
        <v>0</v>
      </c>
      <c r="E144" s="482">
        <f t="shared" si="49"/>
        <v>0</v>
      </c>
      <c r="F144" s="483">
        <f t="shared" si="50"/>
        <v>0</v>
      </c>
      <c r="G144" s="483">
        <f t="shared" si="51"/>
        <v>0</v>
      </c>
      <c r="H144" s="486">
        <f t="shared" si="52"/>
        <v>0</v>
      </c>
      <c r="I144" s="540">
        <f t="shared" si="53"/>
        <v>0</v>
      </c>
      <c r="J144" s="476">
        <f t="shared" si="37"/>
        <v>0</v>
      </c>
      <c r="K144" s="476"/>
      <c r="L144" s="485"/>
      <c r="M144" s="476">
        <f t="shared" si="54"/>
        <v>0</v>
      </c>
      <c r="N144" s="485"/>
      <c r="O144" s="476">
        <f t="shared" si="55"/>
        <v>0</v>
      </c>
      <c r="P144" s="476">
        <f t="shared" si="56"/>
        <v>0</v>
      </c>
    </row>
    <row r="145" spans="2:16">
      <c r="B145" s="160" t="str">
        <f t="shared" si="36"/>
        <v/>
      </c>
      <c r="C145" s="470">
        <f>IF(D93="","-",+C144+1)</f>
        <v>2059</v>
      </c>
      <c r="D145" s="345">
        <f>IF(F144+SUM(E$99:E144)=D$92,F144,D$92-SUM(E$99:E144))</f>
        <v>0</v>
      </c>
      <c r="E145" s="482">
        <f t="shared" si="49"/>
        <v>0</v>
      </c>
      <c r="F145" s="483">
        <f t="shared" si="50"/>
        <v>0</v>
      </c>
      <c r="G145" s="483">
        <f t="shared" si="51"/>
        <v>0</v>
      </c>
      <c r="H145" s="486">
        <f t="shared" si="52"/>
        <v>0</v>
      </c>
      <c r="I145" s="540">
        <f t="shared" si="53"/>
        <v>0</v>
      </c>
      <c r="J145" s="476">
        <f t="shared" si="37"/>
        <v>0</v>
      </c>
      <c r="K145" s="476"/>
      <c r="L145" s="485"/>
      <c r="M145" s="476">
        <f t="shared" si="54"/>
        <v>0</v>
      </c>
      <c r="N145" s="485"/>
      <c r="O145" s="476">
        <f t="shared" si="55"/>
        <v>0</v>
      </c>
      <c r="P145" s="476">
        <f t="shared" si="56"/>
        <v>0</v>
      </c>
    </row>
    <row r="146" spans="2:16">
      <c r="B146" s="160" t="str">
        <f t="shared" si="36"/>
        <v/>
      </c>
      <c r="C146" s="470">
        <f>IF(D93="","-",+C145+1)</f>
        <v>2060</v>
      </c>
      <c r="D146" s="345">
        <f>IF(F145+SUM(E$99:E145)=D$92,F145,D$92-SUM(E$99:E145))</f>
        <v>0</v>
      </c>
      <c r="E146" s="482">
        <f t="shared" si="49"/>
        <v>0</v>
      </c>
      <c r="F146" s="483">
        <f t="shared" si="50"/>
        <v>0</v>
      </c>
      <c r="G146" s="483">
        <f t="shared" si="51"/>
        <v>0</v>
      </c>
      <c r="H146" s="486">
        <f t="shared" si="52"/>
        <v>0</v>
      </c>
      <c r="I146" s="540">
        <f t="shared" si="53"/>
        <v>0</v>
      </c>
      <c r="J146" s="476">
        <f t="shared" si="37"/>
        <v>0</v>
      </c>
      <c r="K146" s="476"/>
      <c r="L146" s="485"/>
      <c r="M146" s="476">
        <f t="shared" si="54"/>
        <v>0</v>
      </c>
      <c r="N146" s="485"/>
      <c r="O146" s="476">
        <f t="shared" si="55"/>
        <v>0</v>
      </c>
      <c r="P146" s="476">
        <f t="shared" si="56"/>
        <v>0</v>
      </c>
    </row>
    <row r="147" spans="2:16">
      <c r="B147" s="160" t="str">
        <f t="shared" si="36"/>
        <v/>
      </c>
      <c r="C147" s="470">
        <f>IF(D93="","-",+C146+1)</f>
        <v>2061</v>
      </c>
      <c r="D147" s="345">
        <f>IF(F146+SUM(E$99:E146)=D$92,F146,D$92-SUM(E$99:E146))</f>
        <v>0</v>
      </c>
      <c r="E147" s="482">
        <f t="shared" si="49"/>
        <v>0</v>
      </c>
      <c r="F147" s="483">
        <f t="shared" si="50"/>
        <v>0</v>
      </c>
      <c r="G147" s="483">
        <f t="shared" si="51"/>
        <v>0</v>
      </c>
      <c r="H147" s="486">
        <f t="shared" si="52"/>
        <v>0</v>
      </c>
      <c r="I147" s="540">
        <f t="shared" si="53"/>
        <v>0</v>
      </c>
      <c r="J147" s="476">
        <f t="shared" si="37"/>
        <v>0</v>
      </c>
      <c r="K147" s="476"/>
      <c r="L147" s="485"/>
      <c r="M147" s="476">
        <f t="shared" si="54"/>
        <v>0</v>
      </c>
      <c r="N147" s="485"/>
      <c r="O147" s="476">
        <f t="shared" si="55"/>
        <v>0</v>
      </c>
      <c r="P147" s="476">
        <f t="shared" si="56"/>
        <v>0</v>
      </c>
    </row>
    <row r="148" spans="2:16">
      <c r="B148" s="160" t="str">
        <f t="shared" si="36"/>
        <v/>
      </c>
      <c r="C148" s="470">
        <f>IF(D93="","-",+C147+1)</f>
        <v>2062</v>
      </c>
      <c r="D148" s="345">
        <f>IF(F147+SUM(E$99:E147)=D$92,F147,D$92-SUM(E$99:E147))</f>
        <v>0</v>
      </c>
      <c r="E148" s="482">
        <f t="shared" si="49"/>
        <v>0</v>
      </c>
      <c r="F148" s="483">
        <f t="shared" si="50"/>
        <v>0</v>
      </c>
      <c r="G148" s="483">
        <f t="shared" si="51"/>
        <v>0</v>
      </c>
      <c r="H148" s="486">
        <f t="shared" si="52"/>
        <v>0</v>
      </c>
      <c r="I148" s="540">
        <f t="shared" si="53"/>
        <v>0</v>
      </c>
      <c r="J148" s="476">
        <f t="shared" si="37"/>
        <v>0</v>
      </c>
      <c r="K148" s="476"/>
      <c r="L148" s="485"/>
      <c r="M148" s="476">
        <f t="shared" si="54"/>
        <v>0</v>
      </c>
      <c r="N148" s="485"/>
      <c r="O148" s="476">
        <f t="shared" si="55"/>
        <v>0</v>
      </c>
      <c r="P148" s="476">
        <f t="shared" si="56"/>
        <v>0</v>
      </c>
    </row>
    <row r="149" spans="2:16">
      <c r="B149" s="160" t="str">
        <f t="shared" si="36"/>
        <v/>
      </c>
      <c r="C149" s="470">
        <f>IF(D93="","-",+C148+1)</f>
        <v>2063</v>
      </c>
      <c r="D149" s="345">
        <f>IF(F148+SUM(E$99:E148)=D$92,F148,D$92-SUM(E$99:E148))</f>
        <v>0</v>
      </c>
      <c r="E149" s="482">
        <f t="shared" si="49"/>
        <v>0</v>
      </c>
      <c r="F149" s="483">
        <f t="shared" si="50"/>
        <v>0</v>
      </c>
      <c r="G149" s="483">
        <f t="shared" si="51"/>
        <v>0</v>
      </c>
      <c r="H149" s="486">
        <f t="shared" si="52"/>
        <v>0</v>
      </c>
      <c r="I149" s="540">
        <f t="shared" si="53"/>
        <v>0</v>
      </c>
      <c r="J149" s="476">
        <f t="shared" si="37"/>
        <v>0</v>
      </c>
      <c r="K149" s="476"/>
      <c r="L149" s="485"/>
      <c r="M149" s="476">
        <f t="shared" si="54"/>
        <v>0</v>
      </c>
      <c r="N149" s="485"/>
      <c r="O149" s="476">
        <f t="shared" si="55"/>
        <v>0</v>
      </c>
      <c r="P149" s="476">
        <f t="shared" si="56"/>
        <v>0</v>
      </c>
    </row>
    <row r="150" spans="2:16">
      <c r="B150" s="160" t="str">
        <f t="shared" si="36"/>
        <v/>
      </c>
      <c r="C150" s="470">
        <f>IF(D93="","-",+C149+1)</f>
        <v>2064</v>
      </c>
      <c r="D150" s="345">
        <f>IF(F149+SUM(E$99:E149)=D$92,F149,D$92-SUM(E$99:E149))</f>
        <v>0</v>
      </c>
      <c r="E150" s="482">
        <f t="shared" si="49"/>
        <v>0</v>
      </c>
      <c r="F150" s="483">
        <f t="shared" si="50"/>
        <v>0</v>
      </c>
      <c r="G150" s="483">
        <f t="shared" si="51"/>
        <v>0</v>
      </c>
      <c r="H150" s="486">
        <f t="shared" si="52"/>
        <v>0</v>
      </c>
      <c r="I150" s="540">
        <f t="shared" si="53"/>
        <v>0</v>
      </c>
      <c r="J150" s="476">
        <f t="shared" si="37"/>
        <v>0</v>
      </c>
      <c r="K150" s="476"/>
      <c r="L150" s="485"/>
      <c r="M150" s="476">
        <f t="shared" si="54"/>
        <v>0</v>
      </c>
      <c r="N150" s="485"/>
      <c r="O150" s="476">
        <f t="shared" si="55"/>
        <v>0</v>
      </c>
      <c r="P150" s="476">
        <f t="shared" si="56"/>
        <v>0</v>
      </c>
    </row>
    <row r="151" spans="2:16">
      <c r="B151" s="160" t="str">
        <f t="shared" si="36"/>
        <v/>
      </c>
      <c r="C151" s="470">
        <f>IF(D93="","-",+C150+1)</f>
        <v>2065</v>
      </c>
      <c r="D151" s="345">
        <f>IF(F150+SUM(E$99:E150)=D$92,F150,D$92-SUM(E$99:E150))</f>
        <v>0</v>
      </c>
      <c r="E151" s="482">
        <f t="shared" si="49"/>
        <v>0</v>
      </c>
      <c r="F151" s="483">
        <f t="shared" si="50"/>
        <v>0</v>
      </c>
      <c r="G151" s="483">
        <f t="shared" si="51"/>
        <v>0</v>
      </c>
      <c r="H151" s="486">
        <f t="shared" si="52"/>
        <v>0</v>
      </c>
      <c r="I151" s="540">
        <f t="shared" si="53"/>
        <v>0</v>
      </c>
      <c r="J151" s="476">
        <f t="shared" si="37"/>
        <v>0</v>
      </c>
      <c r="K151" s="476"/>
      <c r="L151" s="485"/>
      <c r="M151" s="476">
        <f t="shared" si="54"/>
        <v>0</v>
      </c>
      <c r="N151" s="485"/>
      <c r="O151" s="476">
        <f t="shared" si="55"/>
        <v>0</v>
      </c>
      <c r="P151" s="476">
        <f t="shared" si="56"/>
        <v>0</v>
      </c>
    </row>
    <row r="152" spans="2:16">
      <c r="B152" s="160" t="str">
        <f t="shared" si="36"/>
        <v/>
      </c>
      <c r="C152" s="470">
        <f>IF(D93="","-",+C151+1)</f>
        <v>2066</v>
      </c>
      <c r="D152" s="345">
        <f>IF(F151+SUM(E$99:E151)=D$92,F151,D$92-SUM(E$99:E151))</f>
        <v>0</v>
      </c>
      <c r="E152" s="482">
        <f t="shared" si="49"/>
        <v>0</v>
      </c>
      <c r="F152" s="483">
        <f t="shared" si="50"/>
        <v>0</v>
      </c>
      <c r="G152" s="483">
        <f t="shared" si="51"/>
        <v>0</v>
      </c>
      <c r="H152" s="486">
        <f t="shared" si="52"/>
        <v>0</v>
      </c>
      <c r="I152" s="540">
        <f t="shared" si="53"/>
        <v>0</v>
      </c>
      <c r="J152" s="476">
        <f t="shared" si="37"/>
        <v>0</v>
      </c>
      <c r="K152" s="476"/>
      <c r="L152" s="485"/>
      <c r="M152" s="476">
        <f t="shared" si="54"/>
        <v>0</v>
      </c>
      <c r="N152" s="485"/>
      <c r="O152" s="476">
        <f t="shared" si="55"/>
        <v>0</v>
      </c>
      <c r="P152" s="476">
        <f t="shared" si="56"/>
        <v>0</v>
      </c>
    </row>
    <row r="153" spans="2:16">
      <c r="B153" s="160" t="str">
        <f t="shared" si="36"/>
        <v/>
      </c>
      <c r="C153" s="470">
        <f>IF(D93="","-",+C152+1)</f>
        <v>2067</v>
      </c>
      <c r="D153" s="345">
        <f>IF(F152+SUM(E$99:E152)=D$92,F152,D$92-SUM(E$99:E152))</f>
        <v>0</v>
      </c>
      <c r="E153" s="482">
        <f t="shared" si="49"/>
        <v>0</v>
      </c>
      <c r="F153" s="483">
        <f t="shared" si="50"/>
        <v>0</v>
      </c>
      <c r="G153" s="483">
        <f t="shared" si="51"/>
        <v>0</v>
      </c>
      <c r="H153" s="486">
        <f t="shared" si="52"/>
        <v>0</v>
      </c>
      <c r="I153" s="540">
        <f t="shared" si="53"/>
        <v>0</v>
      </c>
      <c r="J153" s="476">
        <f t="shared" si="37"/>
        <v>0</v>
      </c>
      <c r="K153" s="476"/>
      <c r="L153" s="485"/>
      <c r="M153" s="476">
        <f t="shared" si="54"/>
        <v>0</v>
      </c>
      <c r="N153" s="485"/>
      <c r="O153" s="476">
        <f t="shared" si="55"/>
        <v>0</v>
      </c>
      <c r="P153" s="476">
        <f t="shared" si="56"/>
        <v>0</v>
      </c>
    </row>
    <row r="154" spans="2:16" ht="13.5" thickBot="1">
      <c r="B154" s="160" t="str">
        <f t="shared" si="36"/>
        <v/>
      </c>
      <c r="C154" s="487">
        <f>IF(D93="","-",+C153+1)</f>
        <v>2068</v>
      </c>
      <c r="D154" s="345">
        <f>IF(F153+SUM(E$99:E153)=D$92,F153,D$92-SUM(E$99:E153))</f>
        <v>0</v>
      </c>
      <c r="E154" s="482">
        <f t="shared" si="49"/>
        <v>0</v>
      </c>
      <c r="F154" s="483">
        <f t="shared" si="50"/>
        <v>0</v>
      </c>
      <c r="G154" s="483">
        <f t="shared" si="51"/>
        <v>0</v>
      </c>
      <c r="H154" s="486">
        <f t="shared" si="52"/>
        <v>0</v>
      </c>
      <c r="I154" s="540">
        <f t="shared" si="53"/>
        <v>0</v>
      </c>
      <c r="J154" s="476">
        <f t="shared" si="37"/>
        <v>0</v>
      </c>
      <c r="K154" s="476"/>
      <c r="L154" s="492"/>
      <c r="M154" s="493">
        <f t="shared" si="54"/>
        <v>0</v>
      </c>
      <c r="N154" s="492"/>
      <c r="O154" s="493">
        <f t="shared" si="55"/>
        <v>0</v>
      </c>
      <c r="P154" s="493">
        <f t="shared" si="56"/>
        <v>0</v>
      </c>
    </row>
    <row r="155" spans="2:16">
      <c r="C155" s="345" t="s">
        <v>77</v>
      </c>
      <c r="D155" s="346"/>
      <c r="E155" s="346">
        <f>SUM(E99:E154)</f>
        <v>1035552</v>
      </c>
      <c r="F155" s="346"/>
      <c r="G155" s="346"/>
      <c r="H155" s="346">
        <f>SUM(H99:H154)</f>
        <v>3579267.9416216835</v>
      </c>
      <c r="I155" s="346">
        <f>SUM(I99:I154)</f>
        <v>3579267.9416216835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41" priority="1" stopIfTrue="1" operator="equal">
      <formula>$I$10</formula>
    </cfRule>
  </conditionalFormatting>
  <conditionalFormatting sqref="C99:C154">
    <cfRule type="cellIs" dxfId="4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4"/>
  <dimension ref="A1:P162"/>
  <sheetViews>
    <sheetView topLeftCell="A85" zoomScaleNormal="100" zoomScaleSheetLayoutView="80" workbookViewId="0">
      <selection activeCell="V52" sqref="V5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15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251632.81578947368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251632.81578947368</v>
      </c>
      <c r="O6" s="231"/>
      <c r="P6" s="231"/>
    </row>
    <row r="7" spans="1:16" ht="13.5" thickBot="1">
      <c r="C7" s="429" t="s">
        <v>46</v>
      </c>
      <c r="D7" s="597" t="s">
        <v>253</v>
      </c>
      <c r="E7" s="598"/>
      <c r="F7" s="598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570" t="s">
        <v>252</v>
      </c>
      <c r="E9" s="575" t="s">
        <v>261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2246629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2014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2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59121.815789473687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2014</v>
      </c>
      <c r="D17" s="582">
        <v>2295000</v>
      </c>
      <c r="E17" s="606">
        <v>36778.846153846156</v>
      </c>
      <c r="F17" s="582">
        <v>2258221.153846154</v>
      </c>
      <c r="G17" s="606">
        <v>347642.78736560291</v>
      </c>
      <c r="H17" s="585">
        <v>347642.78736560291</v>
      </c>
      <c r="I17" s="473">
        <v>0</v>
      </c>
      <c r="J17" s="473"/>
      <c r="K17" s="474">
        <f t="shared" ref="K17:K22" si="0">G17</f>
        <v>347642.78736560291</v>
      </c>
      <c r="L17" s="601">
        <f t="shared" ref="L17:L22" si="1">IF(K17&lt;&gt;0,+G17-K17,0)</f>
        <v>0</v>
      </c>
      <c r="M17" s="474">
        <f t="shared" ref="M17:M22" si="2">H17</f>
        <v>347642.78736560291</v>
      </c>
      <c r="N17" s="476">
        <f>IF(M17&lt;&gt;0,+H17-M17,0)</f>
        <v>0</v>
      </c>
      <c r="O17" s="473">
        <f>+N17-L17</f>
        <v>0</v>
      </c>
      <c r="P17" s="241"/>
    </row>
    <row r="18" spans="2:16">
      <c r="B18" s="160" t="str">
        <f>IF(D18=F17,"","IU")</f>
        <v/>
      </c>
      <c r="C18" s="470">
        <f>IF(D11="","-",+C17+1)</f>
        <v>2015</v>
      </c>
      <c r="D18" s="582">
        <v>2258221.153846154</v>
      </c>
      <c r="E18" s="583">
        <v>43204.395576923074</v>
      </c>
      <c r="F18" s="582">
        <v>2215016.7582692308</v>
      </c>
      <c r="G18" s="583">
        <v>348592.42580485216</v>
      </c>
      <c r="H18" s="585">
        <v>348592.42580485216</v>
      </c>
      <c r="I18" s="473">
        <v>0</v>
      </c>
      <c r="J18" s="473"/>
      <c r="K18" s="474">
        <f t="shared" si="0"/>
        <v>348592.42580485216</v>
      </c>
      <c r="L18" s="601">
        <f t="shared" si="1"/>
        <v>0</v>
      </c>
      <c r="M18" s="474">
        <f t="shared" si="2"/>
        <v>348592.42580485216</v>
      </c>
      <c r="N18" s="476">
        <f>IF(M18&lt;&gt;0,+H18-M18,0)</f>
        <v>0</v>
      </c>
      <c r="O18" s="473">
        <f>+N18-L18</f>
        <v>0</v>
      </c>
      <c r="P18" s="241"/>
    </row>
    <row r="19" spans="2:16">
      <c r="B19" s="160" t="str">
        <f>IF(D19=F18,"","IU")</f>
        <v>IU</v>
      </c>
      <c r="C19" s="470">
        <f>IF(D11="","-",+C18+1)</f>
        <v>2016</v>
      </c>
      <c r="D19" s="582">
        <v>2166645.3282692307</v>
      </c>
      <c r="E19" s="583">
        <v>43204.395576923074</v>
      </c>
      <c r="F19" s="582">
        <v>2123440.9326923075</v>
      </c>
      <c r="G19" s="583">
        <v>321714.3955769231</v>
      </c>
      <c r="H19" s="585">
        <v>321714.3955769231</v>
      </c>
      <c r="I19" s="473">
        <f>H19-G19</f>
        <v>0</v>
      </c>
      <c r="J19" s="473"/>
      <c r="K19" s="474">
        <f t="shared" si="0"/>
        <v>321714.3955769231</v>
      </c>
      <c r="L19" s="601">
        <f t="shared" si="1"/>
        <v>0</v>
      </c>
      <c r="M19" s="474">
        <f t="shared" si="2"/>
        <v>321714.3955769231</v>
      </c>
      <c r="N19" s="476">
        <f>IF(M19&lt;&gt;0,+H19-M19,0)</f>
        <v>0</v>
      </c>
      <c r="O19" s="473">
        <f>+N19-L19</f>
        <v>0</v>
      </c>
      <c r="P19" s="241"/>
    </row>
    <row r="20" spans="2:16">
      <c r="B20" s="160" t="str">
        <f t="shared" ref="B20:B72" si="3">IF(D20=F19,"","IU")</f>
        <v/>
      </c>
      <c r="C20" s="470">
        <f>IF(D11="","-",+C19+1)</f>
        <v>2017</v>
      </c>
      <c r="D20" s="582">
        <v>2123440.9326923075</v>
      </c>
      <c r="E20" s="583">
        <v>48839.751521739126</v>
      </c>
      <c r="F20" s="582">
        <v>2074601.1811705683</v>
      </c>
      <c r="G20" s="583">
        <v>312854.75152173912</v>
      </c>
      <c r="H20" s="585">
        <v>312854.75152173912</v>
      </c>
      <c r="I20" s="473">
        <f t="shared" ref="I20:I72" si="4">H20-G20</f>
        <v>0</v>
      </c>
      <c r="J20" s="473"/>
      <c r="K20" s="474">
        <f t="shared" si="0"/>
        <v>312854.75152173912</v>
      </c>
      <c r="L20" s="601">
        <f t="shared" si="1"/>
        <v>0</v>
      </c>
      <c r="M20" s="474">
        <f t="shared" si="2"/>
        <v>312854.75152173912</v>
      </c>
      <c r="N20" s="476">
        <f>IF(M20&lt;&gt;0,+H20-M20,0)</f>
        <v>0</v>
      </c>
      <c r="O20" s="473">
        <f>+N20-L20</f>
        <v>0</v>
      </c>
      <c r="P20" s="241"/>
    </row>
    <row r="21" spans="2:16">
      <c r="B21" s="160" t="str">
        <f t="shared" si="3"/>
        <v/>
      </c>
      <c r="C21" s="470">
        <f>IF(D11="","-",+C20+1)</f>
        <v>2018</v>
      </c>
      <c r="D21" s="582">
        <v>2074601.1811705683</v>
      </c>
      <c r="E21" s="583">
        <v>49925.079333333328</v>
      </c>
      <c r="F21" s="582">
        <v>2024676.101837235</v>
      </c>
      <c r="G21" s="583">
        <v>295387.63187355472</v>
      </c>
      <c r="H21" s="585">
        <v>295387.63187355472</v>
      </c>
      <c r="I21" s="473">
        <f t="shared" si="4"/>
        <v>0</v>
      </c>
      <c r="J21" s="473"/>
      <c r="K21" s="474">
        <f t="shared" si="0"/>
        <v>295387.63187355472</v>
      </c>
      <c r="L21" s="601">
        <f t="shared" si="1"/>
        <v>0</v>
      </c>
      <c r="M21" s="474">
        <f t="shared" si="2"/>
        <v>295387.63187355472</v>
      </c>
      <c r="N21" s="476">
        <f>IF(M21&lt;&gt;0,+H21-M21,0)</f>
        <v>0</v>
      </c>
      <c r="O21" s="473">
        <f>+N21-L21</f>
        <v>0</v>
      </c>
      <c r="P21" s="241"/>
    </row>
    <row r="22" spans="2:16">
      <c r="B22" s="160" t="str">
        <f t="shared" si="3"/>
        <v/>
      </c>
      <c r="C22" s="470">
        <f>IF(D11="","-",+C21+1)</f>
        <v>2019</v>
      </c>
      <c r="D22" s="582">
        <v>2024676.101837235</v>
      </c>
      <c r="E22" s="583">
        <v>56165.714249999997</v>
      </c>
      <c r="F22" s="582">
        <v>1968510.3875872351</v>
      </c>
      <c r="G22" s="583">
        <v>279098.59002601594</v>
      </c>
      <c r="H22" s="585">
        <v>279098.59002601594</v>
      </c>
      <c r="I22" s="473">
        <f t="shared" si="4"/>
        <v>0</v>
      </c>
      <c r="J22" s="473"/>
      <c r="K22" s="474">
        <f t="shared" si="0"/>
        <v>279098.59002601594</v>
      </c>
      <c r="L22" s="601">
        <f t="shared" si="1"/>
        <v>0</v>
      </c>
      <c r="M22" s="474">
        <f t="shared" si="2"/>
        <v>279098.59002601594</v>
      </c>
      <c r="N22" s="476">
        <f t="shared" ref="N22:N72" si="5">IF(M22&lt;&gt;0,+H22-M22,0)</f>
        <v>0</v>
      </c>
      <c r="O22" s="476">
        <f t="shared" ref="O22:O72" si="6">+N22-L22</f>
        <v>0</v>
      </c>
      <c r="P22" s="241"/>
    </row>
    <row r="23" spans="2:16">
      <c r="B23" s="160" t="str">
        <f t="shared" si="3"/>
        <v>IU</v>
      </c>
      <c r="C23" s="470">
        <f>IF(D11="","-",+C22+1)</f>
        <v>2020</v>
      </c>
      <c r="D23" s="582">
        <v>1974751.0225039017</v>
      </c>
      <c r="E23" s="583">
        <v>53491.156428571427</v>
      </c>
      <c r="F23" s="582">
        <v>1921259.8660753304</v>
      </c>
      <c r="G23" s="583">
        <v>263885.04985844565</v>
      </c>
      <c r="H23" s="585">
        <v>263885.04985844565</v>
      </c>
      <c r="I23" s="473">
        <f t="shared" si="4"/>
        <v>0</v>
      </c>
      <c r="J23" s="473"/>
      <c r="K23" s="474">
        <f t="shared" ref="K23" si="7">G23</f>
        <v>263885.04985844565</v>
      </c>
      <c r="L23" s="601">
        <f t="shared" ref="L23" si="8">IF(K23&lt;&gt;0,+G23-K23,0)</f>
        <v>0</v>
      </c>
      <c r="M23" s="474">
        <f t="shared" ref="M23" si="9">H23</f>
        <v>263885.04985844565</v>
      </c>
      <c r="N23" s="476">
        <f t="shared" si="5"/>
        <v>0</v>
      </c>
      <c r="O23" s="476">
        <f t="shared" si="6"/>
        <v>0</v>
      </c>
      <c r="P23" s="241"/>
    </row>
    <row r="24" spans="2:16">
      <c r="B24" s="160" t="str">
        <f t="shared" si="3"/>
        <v>IU</v>
      </c>
      <c r="C24" s="470">
        <f>IF(D11="","-",+C23+1)</f>
        <v>2021</v>
      </c>
      <c r="D24" s="582">
        <v>1915019.2311586635</v>
      </c>
      <c r="E24" s="583">
        <v>52247.176046511624</v>
      </c>
      <c r="F24" s="582">
        <v>1862772.0551121519</v>
      </c>
      <c r="G24" s="583">
        <v>253094.17604651162</v>
      </c>
      <c r="H24" s="585">
        <v>253094.17604651162</v>
      </c>
      <c r="I24" s="473">
        <f t="shared" si="4"/>
        <v>0</v>
      </c>
      <c r="J24" s="473"/>
      <c r="K24" s="474">
        <f t="shared" ref="K24" si="10">G24</f>
        <v>253094.17604651162</v>
      </c>
      <c r="L24" s="601">
        <f t="shared" ref="L24" si="11">IF(K24&lt;&gt;0,+G24-K24,0)</f>
        <v>0</v>
      </c>
      <c r="M24" s="474">
        <f t="shared" ref="M24" si="12">H24</f>
        <v>253094.17604651162</v>
      </c>
      <c r="N24" s="476">
        <f t="shared" si="5"/>
        <v>0</v>
      </c>
      <c r="O24" s="476">
        <f t="shared" si="6"/>
        <v>0</v>
      </c>
      <c r="P24" s="241"/>
    </row>
    <row r="25" spans="2:16">
      <c r="B25" s="160" t="str">
        <f t="shared" si="3"/>
        <v/>
      </c>
      <c r="C25" s="470">
        <f>IF(D11="","-",+C24+1)</f>
        <v>2022</v>
      </c>
      <c r="D25" s="582">
        <v>1862772.0551121519</v>
      </c>
      <c r="E25" s="583">
        <v>53491.156428571427</v>
      </c>
      <c r="F25" s="582">
        <v>1809280.8986835806</v>
      </c>
      <c r="G25" s="583">
        <v>248552.15642857144</v>
      </c>
      <c r="H25" s="585">
        <v>248552.15642857144</v>
      </c>
      <c r="I25" s="473">
        <f t="shared" si="4"/>
        <v>0</v>
      </c>
      <c r="J25" s="473"/>
      <c r="K25" s="474">
        <f t="shared" ref="K25" si="13">G25</f>
        <v>248552.15642857144</v>
      </c>
      <c r="L25" s="601">
        <f t="shared" ref="L25" si="14">IF(K25&lt;&gt;0,+G25-K25,0)</f>
        <v>0</v>
      </c>
      <c r="M25" s="474">
        <f t="shared" ref="M25" si="15">H25</f>
        <v>248552.15642857144</v>
      </c>
      <c r="N25" s="476">
        <f t="shared" si="5"/>
        <v>0</v>
      </c>
      <c r="O25" s="476">
        <f t="shared" si="6"/>
        <v>0</v>
      </c>
      <c r="P25" s="241"/>
    </row>
    <row r="26" spans="2:16">
      <c r="B26" s="160" t="str">
        <f t="shared" si="3"/>
        <v>IU</v>
      </c>
      <c r="C26" s="470">
        <f>IF(D11="","-",+C25+1)</f>
        <v>2023</v>
      </c>
      <c r="D26" s="582">
        <v>1809281.3286835807</v>
      </c>
      <c r="E26" s="583">
        <v>57605.871794871797</v>
      </c>
      <c r="F26" s="582">
        <v>1751675.456888709</v>
      </c>
      <c r="G26" s="583">
        <v>266683.87179487181</v>
      </c>
      <c r="H26" s="585">
        <v>266683.87179487181</v>
      </c>
      <c r="I26" s="473">
        <f t="shared" si="4"/>
        <v>0</v>
      </c>
      <c r="J26" s="473"/>
      <c r="K26" s="474">
        <f t="shared" ref="K26" si="16">G26</f>
        <v>266683.87179487181</v>
      </c>
      <c r="L26" s="601">
        <f t="shared" ref="L26" si="17">IF(K26&lt;&gt;0,+G26-K26,0)</f>
        <v>0</v>
      </c>
      <c r="M26" s="474">
        <f t="shared" ref="M26" si="18">H26</f>
        <v>266683.87179487181</v>
      </c>
      <c r="N26" s="476">
        <f t="shared" ref="N26" si="19">IF(M26&lt;&gt;0,+H26-M26,0)</f>
        <v>0</v>
      </c>
      <c r="O26" s="476">
        <f t="shared" ref="O26" si="20">+N26-L26</f>
        <v>0</v>
      </c>
      <c r="P26" s="241"/>
    </row>
    <row r="27" spans="2:16">
      <c r="B27" s="160" t="str">
        <f t="shared" si="3"/>
        <v/>
      </c>
      <c r="C27" s="631">
        <f>IF(D11="","-",+C26+1)</f>
        <v>2024</v>
      </c>
      <c r="D27" s="483">
        <f>IF(F26+SUM(E$17:E26)=D$10,F26,D$10-SUM(E$17:E26))</f>
        <v>1751675.456888709</v>
      </c>
      <c r="E27" s="482">
        <f t="shared" ref="E27:E72" si="21">IF(+$I$14&lt;F26,$I$14,D27)</f>
        <v>59121.815789473687</v>
      </c>
      <c r="F27" s="483">
        <f t="shared" ref="F27:F72" si="22">+D27-E27</f>
        <v>1692553.6410992353</v>
      </c>
      <c r="G27" s="484">
        <f t="shared" ref="G27:G72" si="23">ROUND(I$12*F27,0)+E27</f>
        <v>251632.81578947368</v>
      </c>
      <c r="H27" s="453">
        <f t="shared" ref="H27:H72" si="24">ROUND(I$13*F27,0)+E27</f>
        <v>251632.81578947368</v>
      </c>
      <c r="I27" s="473">
        <f t="shared" si="4"/>
        <v>0</v>
      </c>
      <c r="J27" s="473"/>
      <c r="K27" s="485"/>
      <c r="L27" s="476">
        <f t="shared" ref="L27:L72" si="25">IF(K27&lt;&gt;0,+G27-K27,0)</f>
        <v>0</v>
      </c>
      <c r="M27" s="485"/>
      <c r="N27" s="476">
        <f t="shared" si="5"/>
        <v>0</v>
      </c>
      <c r="O27" s="476">
        <f t="shared" si="6"/>
        <v>0</v>
      </c>
      <c r="P27" s="241"/>
    </row>
    <row r="28" spans="2:16">
      <c r="B28" s="160" t="str">
        <f t="shared" si="3"/>
        <v/>
      </c>
      <c r="C28" s="470">
        <f>IF(D11="","-",+C27+1)</f>
        <v>2025</v>
      </c>
      <c r="D28" s="483">
        <f>IF(F27+SUM(E$17:E27)=D$10,F27,D$10-SUM(E$17:E27))</f>
        <v>1692553.6410992353</v>
      </c>
      <c r="E28" s="482">
        <f t="shared" si="21"/>
        <v>59121.815789473687</v>
      </c>
      <c r="F28" s="483">
        <f t="shared" si="22"/>
        <v>1633431.8253097616</v>
      </c>
      <c r="G28" s="484">
        <f t="shared" si="23"/>
        <v>244908.81578947368</v>
      </c>
      <c r="H28" s="453">
        <f t="shared" si="24"/>
        <v>244908.81578947368</v>
      </c>
      <c r="I28" s="473">
        <f t="shared" si="4"/>
        <v>0</v>
      </c>
      <c r="J28" s="473"/>
      <c r="K28" s="485"/>
      <c r="L28" s="476">
        <f t="shared" si="25"/>
        <v>0</v>
      </c>
      <c r="M28" s="485"/>
      <c r="N28" s="476">
        <f t="shared" si="5"/>
        <v>0</v>
      </c>
      <c r="O28" s="476">
        <f t="shared" si="6"/>
        <v>0</v>
      </c>
      <c r="P28" s="241"/>
    </row>
    <row r="29" spans="2:16">
      <c r="B29" s="160" t="str">
        <f t="shared" si="3"/>
        <v/>
      </c>
      <c r="C29" s="470">
        <f>IF(D11="","-",+C28+1)</f>
        <v>2026</v>
      </c>
      <c r="D29" s="483">
        <f>IF(F28+SUM(E$17:E28)=D$10,F28,D$10-SUM(E$17:E28))</f>
        <v>1633431.8253097616</v>
      </c>
      <c r="E29" s="482">
        <f t="shared" si="21"/>
        <v>59121.815789473687</v>
      </c>
      <c r="F29" s="483">
        <f t="shared" si="22"/>
        <v>1574310.0095202879</v>
      </c>
      <c r="G29" s="484">
        <f t="shared" si="23"/>
        <v>238183.81578947368</v>
      </c>
      <c r="H29" s="453">
        <f t="shared" si="24"/>
        <v>238183.81578947368</v>
      </c>
      <c r="I29" s="473">
        <f t="shared" si="4"/>
        <v>0</v>
      </c>
      <c r="J29" s="473"/>
      <c r="K29" s="485"/>
      <c r="L29" s="476">
        <f t="shared" si="25"/>
        <v>0</v>
      </c>
      <c r="M29" s="485"/>
      <c r="N29" s="476">
        <f t="shared" si="5"/>
        <v>0</v>
      </c>
      <c r="O29" s="476">
        <f t="shared" si="6"/>
        <v>0</v>
      </c>
      <c r="P29" s="241"/>
    </row>
    <row r="30" spans="2:16">
      <c r="B30" s="160" t="str">
        <f t="shared" si="3"/>
        <v/>
      </c>
      <c r="C30" s="470">
        <f>IF(D11="","-",+C29+1)</f>
        <v>2027</v>
      </c>
      <c r="D30" s="483">
        <f>IF(F29+SUM(E$17:E29)=D$10,F29,D$10-SUM(E$17:E29))</f>
        <v>1574310.0095202879</v>
      </c>
      <c r="E30" s="482">
        <f t="shared" si="21"/>
        <v>59121.815789473687</v>
      </c>
      <c r="F30" s="483">
        <f t="shared" si="22"/>
        <v>1515188.1937308141</v>
      </c>
      <c r="G30" s="484">
        <f t="shared" si="23"/>
        <v>231459.81578947368</v>
      </c>
      <c r="H30" s="453">
        <f t="shared" si="24"/>
        <v>231459.81578947368</v>
      </c>
      <c r="I30" s="473">
        <f t="shared" si="4"/>
        <v>0</v>
      </c>
      <c r="J30" s="473"/>
      <c r="K30" s="485"/>
      <c r="L30" s="476">
        <f t="shared" si="25"/>
        <v>0</v>
      </c>
      <c r="M30" s="485"/>
      <c r="N30" s="476">
        <f t="shared" si="5"/>
        <v>0</v>
      </c>
      <c r="O30" s="476">
        <f t="shared" si="6"/>
        <v>0</v>
      </c>
      <c r="P30" s="241"/>
    </row>
    <row r="31" spans="2:16">
      <c r="B31" s="160" t="str">
        <f t="shared" si="3"/>
        <v/>
      </c>
      <c r="C31" s="470">
        <f>IF(D11="","-",+C30+1)</f>
        <v>2028</v>
      </c>
      <c r="D31" s="483">
        <f>IF(F30+SUM(E$17:E30)=D$10,F30,D$10-SUM(E$17:E30))</f>
        <v>1515188.1937308141</v>
      </c>
      <c r="E31" s="482">
        <f t="shared" si="21"/>
        <v>59121.815789473687</v>
      </c>
      <c r="F31" s="483">
        <f t="shared" si="22"/>
        <v>1456066.3779413404</v>
      </c>
      <c r="G31" s="484">
        <f t="shared" si="23"/>
        <v>224734.81578947368</v>
      </c>
      <c r="H31" s="453">
        <f t="shared" si="24"/>
        <v>224734.81578947368</v>
      </c>
      <c r="I31" s="473">
        <f t="shared" si="4"/>
        <v>0</v>
      </c>
      <c r="J31" s="473"/>
      <c r="K31" s="485"/>
      <c r="L31" s="476">
        <f t="shared" si="25"/>
        <v>0</v>
      </c>
      <c r="M31" s="485"/>
      <c r="N31" s="476">
        <f t="shared" si="5"/>
        <v>0</v>
      </c>
      <c r="O31" s="476">
        <f t="shared" si="6"/>
        <v>0</v>
      </c>
      <c r="P31" s="241"/>
    </row>
    <row r="32" spans="2:16">
      <c r="B32" s="160" t="str">
        <f t="shared" si="3"/>
        <v/>
      </c>
      <c r="C32" s="470">
        <f>IF(D11="","-",+C31+1)</f>
        <v>2029</v>
      </c>
      <c r="D32" s="483">
        <f>IF(F31+SUM(E$17:E31)=D$10,F31,D$10-SUM(E$17:E31))</f>
        <v>1456066.3779413404</v>
      </c>
      <c r="E32" s="482">
        <f t="shared" si="21"/>
        <v>59121.815789473687</v>
      </c>
      <c r="F32" s="483">
        <f t="shared" si="22"/>
        <v>1396944.5621518667</v>
      </c>
      <c r="G32" s="484">
        <f t="shared" si="23"/>
        <v>218010.81578947368</v>
      </c>
      <c r="H32" s="453">
        <f t="shared" si="24"/>
        <v>218010.81578947368</v>
      </c>
      <c r="I32" s="473">
        <f t="shared" si="4"/>
        <v>0</v>
      </c>
      <c r="J32" s="473"/>
      <c r="K32" s="485"/>
      <c r="L32" s="476">
        <f t="shared" si="25"/>
        <v>0</v>
      </c>
      <c r="M32" s="485"/>
      <c r="N32" s="476">
        <f t="shared" si="5"/>
        <v>0</v>
      </c>
      <c r="O32" s="476">
        <f t="shared" si="6"/>
        <v>0</v>
      </c>
      <c r="P32" s="241"/>
    </row>
    <row r="33" spans="2:16">
      <c r="B33" s="160" t="str">
        <f t="shared" si="3"/>
        <v/>
      </c>
      <c r="C33" s="470">
        <f>IF(D11="","-",+C32+1)</f>
        <v>2030</v>
      </c>
      <c r="D33" s="483">
        <f>IF(F32+SUM(E$17:E32)=D$10,F32,D$10-SUM(E$17:E32))</f>
        <v>1396944.5621518667</v>
      </c>
      <c r="E33" s="482">
        <f t="shared" si="21"/>
        <v>59121.815789473687</v>
      </c>
      <c r="F33" s="483">
        <f t="shared" si="22"/>
        <v>1337822.746362393</v>
      </c>
      <c r="G33" s="484">
        <f t="shared" si="23"/>
        <v>211285.81578947368</v>
      </c>
      <c r="H33" s="453">
        <f t="shared" si="24"/>
        <v>211285.81578947368</v>
      </c>
      <c r="I33" s="473">
        <f t="shared" si="4"/>
        <v>0</v>
      </c>
      <c r="J33" s="473"/>
      <c r="K33" s="485"/>
      <c r="L33" s="476">
        <f t="shared" si="25"/>
        <v>0</v>
      </c>
      <c r="M33" s="485"/>
      <c r="N33" s="476">
        <f t="shared" si="5"/>
        <v>0</v>
      </c>
      <c r="O33" s="476">
        <f t="shared" si="6"/>
        <v>0</v>
      </c>
      <c r="P33" s="241"/>
    </row>
    <row r="34" spans="2:16">
      <c r="B34" s="160" t="str">
        <f t="shared" si="3"/>
        <v/>
      </c>
      <c r="C34" s="470">
        <f>IF(D11="","-",+C33+1)</f>
        <v>2031</v>
      </c>
      <c r="D34" s="483">
        <f>IF(F33+SUM(E$17:E33)=D$10,F33,D$10-SUM(E$17:E33))</f>
        <v>1337822.746362393</v>
      </c>
      <c r="E34" s="482">
        <f t="shared" si="21"/>
        <v>59121.815789473687</v>
      </c>
      <c r="F34" s="483">
        <f t="shared" si="22"/>
        <v>1278700.9305729193</v>
      </c>
      <c r="G34" s="484">
        <f t="shared" si="23"/>
        <v>204561.81578947368</v>
      </c>
      <c r="H34" s="453">
        <f t="shared" si="24"/>
        <v>204561.81578947368</v>
      </c>
      <c r="I34" s="473">
        <f t="shared" si="4"/>
        <v>0</v>
      </c>
      <c r="J34" s="473"/>
      <c r="K34" s="485"/>
      <c r="L34" s="476">
        <f t="shared" si="25"/>
        <v>0</v>
      </c>
      <c r="M34" s="485"/>
      <c r="N34" s="476">
        <f t="shared" si="5"/>
        <v>0</v>
      </c>
      <c r="O34" s="476">
        <f t="shared" si="6"/>
        <v>0</v>
      </c>
      <c r="P34" s="241"/>
    </row>
    <row r="35" spans="2:16">
      <c r="B35" s="160" t="str">
        <f t="shared" si="3"/>
        <v/>
      </c>
      <c r="C35" s="470">
        <f>IF(D11="","-",+C34+1)</f>
        <v>2032</v>
      </c>
      <c r="D35" s="483">
        <f>IF(F34+SUM(E$17:E34)=D$10,F34,D$10-SUM(E$17:E34))</f>
        <v>1278700.9305729193</v>
      </c>
      <c r="E35" s="482">
        <f t="shared" si="21"/>
        <v>59121.815789473687</v>
      </c>
      <c r="F35" s="483">
        <f t="shared" si="22"/>
        <v>1219579.1147834456</v>
      </c>
      <c r="G35" s="484">
        <f t="shared" si="23"/>
        <v>197836.81578947368</v>
      </c>
      <c r="H35" s="453">
        <f t="shared" si="24"/>
        <v>197836.81578947368</v>
      </c>
      <c r="I35" s="473">
        <f t="shared" si="4"/>
        <v>0</v>
      </c>
      <c r="J35" s="473"/>
      <c r="K35" s="485"/>
      <c r="L35" s="476">
        <f t="shared" si="25"/>
        <v>0</v>
      </c>
      <c r="M35" s="485"/>
      <c r="N35" s="476">
        <f t="shared" si="5"/>
        <v>0</v>
      </c>
      <c r="O35" s="476">
        <f t="shared" si="6"/>
        <v>0</v>
      </c>
      <c r="P35" s="241"/>
    </row>
    <row r="36" spans="2:16">
      <c r="B36" s="160" t="str">
        <f t="shared" si="3"/>
        <v/>
      </c>
      <c r="C36" s="470">
        <f>IF(D11="","-",+C35+1)</f>
        <v>2033</v>
      </c>
      <c r="D36" s="483">
        <f>IF(F35+SUM(E$17:E35)=D$10,F35,D$10-SUM(E$17:E35))</f>
        <v>1219579.1147834456</v>
      </c>
      <c r="E36" s="482">
        <f t="shared" si="21"/>
        <v>59121.815789473687</v>
      </c>
      <c r="F36" s="483">
        <f t="shared" si="22"/>
        <v>1160457.2989939719</v>
      </c>
      <c r="G36" s="484">
        <f t="shared" si="23"/>
        <v>191112.81578947368</v>
      </c>
      <c r="H36" s="453">
        <f t="shared" si="24"/>
        <v>191112.81578947368</v>
      </c>
      <c r="I36" s="473">
        <f t="shared" si="4"/>
        <v>0</v>
      </c>
      <c r="J36" s="473"/>
      <c r="K36" s="485"/>
      <c r="L36" s="476">
        <f t="shared" si="25"/>
        <v>0</v>
      </c>
      <c r="M36" s="485"/>
      <c r="N36" s="476">
        <f t="shared" si="5"/>
        <v>0</v>
      </c>
      <c r="O36" s="476">
        <f t="shared" si="6"/>
        <v>0</v>
      </c>
      <c r="P36" s="241"/>
    </row>
    <row r="37" spans="2:16">
      <c r="B37" s="160" t="str">
        <f t="shared" si="3"/>
        <v/>
      </c>
      <c r="C37" s="470">
        <f>IF(D11="","-",+C36+1)</f>
        <v>2034</v>
      </c>
      <c r="D37" s="483">
        <f>IF(F36+SUM(E$17:E36)=D$10,F36,D$10-SUM(E$17:E36))</f>
        <v>1160457.2989939719</v>
      </c>
      <c r="E37" s="482">
        <f t="shared" si="21"/>
        <v>59121.815789473687</v>
      </c>
      <c r="F37" s="483">
        <f t="shared" si="22"/>
        <v>1101335.4832044982</v>
      </c>
      <c r="G37" s="484">
        <f t="shared" si="23"/>
        <v>184387.81578947368</v>
      </c>
      <c r="H37" s="453">
        <f t="shared" si="24"/>
        <v>184387.81578947368</v>
      </c>
      <c r="I37" s="473">
        <f t="shared" si="4"/>
        <v>0</v>
      </c>
      <c r="J37" s="473"/>
      <c r="K37" s="485"/>
      <c r="L37" s="476">
        <f t="shared" si="25"/>
        <v>0</v>
      </c>
      <c r="M37" s="485"/>
      <c r="N37" s="476">
        <f t="shared" si="5"/>
        <v>0</v>
      </c>
      <c r="O37" s="476">
        <f t="shared" si="6"/>
        <v>0</v>
      </c>
      <c r="P37" s="241"/>
    </row>
    <row r="38" spans="2:16">
      <c r="B38" s="160" t="str">
        <f t="shared" si="3"/>
        <v/>
      </c>
      <c r="C38" s="470">
        <f>IF(D11="","-",+C37+1)</f>
        <v>2035</v>
      </c>
      <c r="D38" s="483">
        <f>IF(F37+SUM(E$17:E37)=D$10,F37,D$10-SUM(E$17:E37))</f>
        <v>1101335.4832044982</v>
      </c>
      <c r="E38" s="482">
        <f t="shared" si="21"/>
        <v>59121.815789473687</v>
      </c>
      <c r="F38" s="483">
        <f t="shared" si="22"/>
        <v>1042213.6674150245</v>
      </c>
      <c r="G38" s="484">
        <f t="shared" si="23"/>
        <v>177663.81578947368</v>
      </c>
      <c r="H38" s="453">
        <f t="shared" si="24"/>
        <v>177663.81578947368</v>
      </c>
      <c r="I38" s="473">
        <f t="shared" si="4"/>
        <v>0</v>
      </c>
      <c r="J38" s="473"/>
      <c r="K38" s="485"/>
      <c r="L38" s="476">
        <f t="shared" si="25"/>
        <v>0</v>
      </c>
      <c r="M38" s="485"/>
      <c r="N38" s="476">
        <f t="shared" si="5"/>
        <v>0</v>
      </c>
      <c r="O38" s="476">
        <f t="shared" si="6"/>
        <v>0</v>
      </c>
      <c r="P38" s="241"/>
    </row>
    <row r="39" spans="2:16">
      <c r="B39" s="160" t="str">
        <f t="shared" si="3"/>
        <v/>
      </c>
      <c r="C39" s="470">
        <f>IF(D11="","-",+C38+1)</f>
        <v>2036</v>
      </c>
      <c r="D39" s="483">
        <f>IF(F38+SUM(E$17:E38)=D$10,F38,D$10-SUM(E$17:E38))</f>
        <v>1042213.6674150245</v>
      </c>
      <c r="E39" s="482">
        <f t="shared" si="21"/>
        <v>59121.815789473687</v>
      </c>
      <c r="F39" s="483">
        <f t="shared" si="22"/>
        <v>983091.85162555077</v>
      </c>
      <c r="G39" s="484">
        <f t="shared" si="23"/>
        <v>170938.81578947368</v>
      </c>
      <c r="H39" s="453">
        <f t="shared" si="24"/>
        <v>170938.81578947368</v>
      </c>
      <c r="I39" s="473">
        <f t="shared" si="4"/>
        <v>0</v>
      </c>
      <c r="J39" s="473"/>
      <c r="K39" s="485"/>
      <c r="L39" s="476">
        <f t="shared" si="25"/>
        <v>0</v>
      </c>
      <c r="M39" s="485"/>
      <c r="N39" s="476">
        <f t="shared" si="5"/>
        <v>0</v>
      </c>
      <c r="O39" s="476">
        <f t="shared" si="6"/>
        <v>0</v>
      </c>
      <c r="P39" s="241"/>
    </row>
    <row r="40" spans="2:16">
      <c r="B40" s="160" t="str">
        <f t="shared" si="3"/>
        <v/>
      </c>
      <c r="C40" s="470">
        <f>IF(D11="","-",+C39+1)</f>
        <v>2037</v>
      </c>
      <c r="D40" s="483">
        <f>IF(F39+SUM(E$17:E39)=D$10,F39,D$10-SUM(E$17:E39))</f>
        <v>983091.85162555077</v>
      </c>
      <c r="E40" s="482">
        <f t="shared" si="21"/>
        <v>59121.815789473687</v>
      </c>
      <c r="F40" s="483">
        <f t="shared" si="22"/>
        <v>923970.03583607706</v>
      </c>
      <c r="G40" s="484">
        <f t="shared" si="23"/>
        <v>164214.81578947368</v>
      </c>
      <c r="H40" s="453">
        <f t="shared" si="24"/>
        <v>164214.81578947368</v>
      </c>
      <c r="I40" s="473">
        <f t="shared" si="4"/>
        <v>0</v>
      </c>
      <c r="J40" s="473"/>
      <c r="K40" s="485"/>
      <c r="L40" s="476">
        <f t="shared" si="25"/>
        <v>0</v>
      </c>
      <c r="M40" s="485"/>
      <c r="N40" s="476">
        <f t="shared" si="5"/>
        <v>0</v>
      </c>
      <c r="O40" s="476">
        <f t="shared" si="6"/>
        <v>0</v>
      </c>
      <c r="P40" s="241"/>
    </row>
    <row r="41" spans="2:16">
      <c r="B41" s="160" t="str">
        <f t="shared" si="3"/>
        <v/>
      </c>
      <c r="C41" s="470">
        <f>IF(D11="","-",+C40+1)</f>
        <v>2038</v>
      </c>
      <c r="D41" s="483">
        <f>IF(F40+SUM(E$17:E40)=D$10,F40,D$10-SUM(E$17:E40))</f>
        <v>923970.03583607706</v>
      </c>
      <c r="E41" s="482">
        <f t="shared" si="21"/>
        <v>59121.815789473687</v>
      </c>
      <c r="F41" s="483">
        <f t="shared" si="22"/>
        <v>864848.22004660335</v>
      </c>
      <c r="G41" s="484">
        <f t="shared" si="23"/>
        <v>157489.81578947368</v>
      </c>
      <c r="H41" s="453">
        <f t="shared" si="24"/>
        <v>157489.81578947368</v>
      </c>
      <c r="I41" s="473">
        <f t="shared" si="4"/>
        <v>0</v>
      </c>
      <c r="J41" s="473"/>
      <c r="K41" s="485"/>
      <c r="L41" s="476">
        <f t="shared" si="25"/>
        <v>0</v>
      </c>
      <c r="M41" s="485"/>
      <c r="N41" s="476">
        <f t="shared" si="5"/>
        <v>0</v>
      </c>
      <c r="O41" s="476">
        <f t="shared" si="6"/>
        <v>0</v>
      </c>
      <c r="P41" s="241"/>
    </row>
    <row r="42" spans="2:16">
      <c r="B42" s="160" t="str">
        <f t="shared" si="3"/>
        <v/>
      </c>
      <c r="C42" s="470">
        <f>IF(D11="","-",+C41+1)</f>
        <v>2039</v>
      </c>
      <c r="D42" s="483">
        <f>IF(F41+SUM(E$17:E41)=D$10,F41,D$10-SUM(E$17:E41))</f>
        <v>864848.22004660335</v>
      </c>
      <c r="E42" s="482">
        <f t="shared" si="21"/>
        <v>59121.815789473687</v>
      </c>
      <c r="F42" s="483">
        <f t="shared" si="22"/>
        <v>805726.40425712964</v>
      </c>
      <c r="G42" s="484">
        <f t="shared" si="23"/>
        <v>150764.81578947368</v>
      </c>
      <c r="H42" s="453">
        <f t="shared" si="24"/>
        <v>150764.81578947368</v>
      </c>
      <c r="I42" s="473">
        <f t="shared" si="4"/>
        <v>0</v>
      </c>
      <c r="J42" s="473"/>
      <c r="K42" s="485"/>
      <c r="L42" s="476">
        <f t="shared" si="25"/>
        <v>0</v>
      </c>
      <c r="M42" s="485"/>
      <c r="N42" s="476">
        <f t="shared" si="5"/>
        <v>0</v>
      </c>
      <c r="O42" s="476">
        <f t="shared" si="6"/>
        <v>0</v>
      </c>
      <c r="P42" s="241"/>
    </row>
    <row r="43" spans="2:16">
      <c r="B43" s="160" t="str">
        <f t="shared" si="3"/>
        <v/>
      </c>
      <c r="C43" s="470">
        <f>IF(D11="","-",+C42+1)</f>
        <v>2040</v>
      </c>
      <c r="D43" s="483">
        <f>IF(F42+SUM(E$17:E42)=D$10,F42,D$10-SUM(E$17:E42))</f>
        <v>805726.40425712964</v>
      </c>
      <c r="E43" s="482">
        <f t="shared" si="21"/>
        <v>59121.815789473687</v>
      </c>
      <c r="F43" s="483">
        <f t="shared" si="22"/>
        <v>746604.58846765594</v>
      </c>
      <c r="G43" s="484">
        <f t="shared" si="23"/>
        <v>144040.81578947368</v>
      </c>
      <c r="H43" s="453">
        <f t="shared" si="24"/>
        <v>144040.81578947368</v>
      </c>
      <c r="I43" s="473">
        <f t="shared" si="4"/>
        <v>0</v>
      </c>
      <c r="J43" s="473"/>
      <c r="K43" s="485"/>
      <c r="L43" s="476">
        <f t="shared" si="25"/>
        <v>0</v>
      </c>
      <c r="M43" s="485"/>
      <c r="N43" s="476">
        <f t="shared" si="5"/>
        <v>0</v>
      </c>
      <c r="O43" s="476">
        <f t="shared" si="6"/>
        <v>0</v>
      </c>
      <c r="P43" s="241"/>
    </row>
    <row r="44" spans="2:16">
      <c r="B44" s="160" t="str">
        <f t="shared" si="3"/>
        <v/>
      </c>
      <c r="C44" s="470">
        <f>IF(D11="","-",+C43+1)</f>
        <v>2041</v>
      </c>
      <c r="D44" s="483">
        <f>IF(F43+SUM(E$17:E43)=D$10,F43,D$10-SUM(E$17:E43))</f>
        <v>746604.58846765594</v>
      </c>
      <c r="E44" s="482">
        <f t="shared" si="21"/>
        <v>59121.815789473687</v>
      </c>
      <c r="F44" s="483">
        <f t="shared" si="22"/>
        <v>687482.77267818223</v>
      </c>
      <c r="G44" s="484">
        <f t="shared" si="23"/>
        <v>137315.81578947368</v>
      </c>
      <c r="H44" s="453">
        <f t="shared" si="24"/>
        <v>137315.81578947368</v>
      </c>
      <c r="I44" s="473">
        <f t="shared" si="4"/>
        <v>0</v>
      </c>
      <c r="J44" s="473"/>
      <c r="K44" s="485"/>
      <c r="L44" s="476">
        <f t="shared" si="25"/>
        <v>0</v>
      </c>
      <c r="M44" s="485"/>
      <c r="N44" s="476">
        <f t="shared" si="5"/>
        <v>0</v>
      </c>
      <c r="O44" s="476">
        <f t="shared" si="6"/>
        <v>0</v>
      </c>
      <c r="P44" s="241"/>
    </row>
    <row r="45" spans="2:16">
      <c r="B45" s="160" t="str">
        <f t="shared" si="3"/>
        <v/>
      </c>
      <c r="C45" s="470">
        <f>IF(D11="","-",+C44+1)</f>
        <v>2042</v>
      </c>
      <c r="D45" s="483">
        <f>IF(F44+SUM(E$17:E44)=D$10,F44,D$10-SUM(E$17:E44))</f>
        <v>687482.77267818223</v>
      </c>
      <c r="E45" s="482">
        <f t="shared" si="21"/>
        <v>59121.815789473687</v>
      </c>
      <c r="F45" s="483">
        <f t="shared" si="22"/>
        <v>628360.95688870852</v>
      </c>
      <c r="G45" s="484">
        <f t="shared" si="23"/>
        <v>130591.81578947368</v>
      </c>
      <c r="H45" s="453">
        <f t="shared" si="24"/>
        <v>130591.81578947368</v>
      </c>
      <c r="I45" s="473">
        <f t="shared" si="4"/>
        <v>0</v>
      </c>
      <c r="J45" s="473"/>
      <c r="K45" s="485"/>
      <c r="L45" s="476">
        <f t="shared" si="25"/>
        <v>0</v>
      </c>
      <c r="M45" s="485"/>
      <c r="N45" s="476">
        <f t="shared" si="5"/>
        <v>0</v>
      </c>
      <c r="O45" s="476">
        <f t="shared" si="6"/>
        <v>0</v>
      </c>
      <c r="P45" s="241"/>
    </row>
    <row r="46" spans="2:16">
      <c r="B46" s="160" t="str">
        <f t="shared" si="3"/>
        <v/>
      </c>
      <c r="C46" s="470">
        <f>IF(D11="","-",+C45+1)</f>
        <v>2043</v>
      </c>
      <c r="D46" s="483">
        <f>IF(F45+SUM(E$17:E45)=D$10,F45,D$10-SUM(E$17:E45))</f>
        <v>628360.95688870852</v>
      </c>
      <c r="E46" s="482">
        <f t="shared" si="21"/>
        <v>59121.815789473687</v>
      </c>
      <c r="F46" s="483">
        <f t="shared" si="22"/>
        <v>569239.14109923481</v>
      </c>
      <c r="G46" s="484">
        <f t="shared" si="23"/>
        <v>123866.81578947368</v>
      </c>
      <c r="H46" s="453">
        <f t="shared" si="24"/>
        <v>123866.81578947368</v>
      </c>
      <c r="I46" s="473">
        <f t="shared" si="4"/>
        <v>0</v>
      </c>
      <c r="J46" s="473"/>
      <c r="K46" s="485"/>
      <c r="L46" s="476">
        <f t="shared" si="25"/>
        <v>0</v>
      </c>
      <c r="M46" s="485"/>
      <c r="N46" s="476">
        <f t="shared" si="5"/>
        <v>0</v>
      </c>
      <c r="O46" s="476">
        <f t="shared" si="6"/>
        <v>0</v>
      </c>
      <c r="P46" s="241"/>
    </row>
    <row r="47" spans="2:16">
      <c r="B47" s="160" t="str">
        <f t="shared" si="3"/>
        <v/>
      </c>
      <c r="C47" s="470">
        <f>IF(D11="","-",+C46+1)</f>
        <v>2044</v>
      </c>
      <c r="D47" s="483">
        <f>IF(F46+SUM(E$17:E46)=D$10,F46,D$10-SUM(E$17:E46))</f>
        <v>569239.14109923481</v>
      </c>
      <c r="E47" s="482">
        <f t="shared" si="21"/>
        <v>59121.815789473687</v>
      </c>
      <c r="F47" s="483">
        <f t="shared" si="22"/>
        <v>510117.3253097611</v>
      </c>
      <c r="G47" s="484">
        <f t="shared" si="23"/>
        <v>117142.81578947368</v>
      </c>
      <c r="H47" s="453">
        <f t="shared" si="24"/>
        <v>117142.81578947368</v>
      </c>
      <c r="I47" s="473">
        <f t="shared" si="4"/>
        <v>0</v>
      </c>
      <c r="J47" s="473"/>
      <c r="K47" s="485"/>
      <c r="L47" s="476">
        <f t="shared" si="25"/>
        <v>0</v>
      </c>
      <c r="M47" s="485"/>
      <c r="N47" s="476">
        <f t="shared" si="5"/>
        <v>0</v>
      </c>
      <c r="O47" s="476">
        <f t="shared" si="6"/>
        <v>0</v>
      </c>
      <c r="P47" s="241"/>
    </row>
    <row r="48" spans="2:16">
      <c r="B48" s="160" t="str">
        <f t="shared" si="3"/>
        <v/>
      </c>
      <c r="C48" s="470">
        <f>IF(D11="","-",+C47+1)</f>
        <v>2045</v>
      </c>
      <c r="D48" s="483">
        <f>IF(F47+SUM(E$17:E47)=D$10,F47,D$10-SUM(E$17:E47))</f>
        <v>510117.3253097611</v>
      </c>
      <c r="E48" s="482">
        <f t="shared" si="21"/>
        <v>59121.815789473687</v>
      </c>
      <c r="F48" s="483">
        <f t="shared" si="22"/>
        <v>450995.50952028739</v>
      </c>
      <c r="G48" s="484">
        <f t="shared" si="23"/>
        <v>110417.81578947368</v>
      </c>
      <c r="H48" s="453">
        <f t="shared" si="24"/>
        <v>110417.81578947368</v>
      </c>
      <c r="I48" s="473">
        <f t="shared" si="4"/>
        <v>0</v>
      </c>
      <c r="J48" s="473"/>
      <c r="K48" s="485"/>
      <c r="L48" s="476">
        <f t="shared" si="25"/>
        <v>0</v>
      </c>
      <c r="M48" s="485"/>
      <c r="N48" s="476">
        <f t="shared" si="5"/>
        <v>0</v>
      </c>
      <c r="O48" s="476">
        <f t="shared" si="6"/>
        <v>0</v>
      </c>
      <c r="P48" s="241"/>
    </row>
    <row r="49" spans="2:16">
      <c r="B49" s="160" t="str">
        <f t="shared" si="3"/>
        <v/>
      </c>
      <c r="C49" s="470">
        <f>IF(D11="","-",+C48+1)</f>
        <v>2046</v>
      </c>
      <c r="D49" s="483">
        <f>IF(F48+SUM(E$17:E48)=D$10,F48,D$10-SUM(E$17:E48))</f>
        <v>450995.50952028739</v>
      </c>
      <c r="E49" s="482">
        <f t="shared" si="21"/>
        <v>59121.815789473687</v>
      </c>
      <c r="F49" s="483">
        <f t="shared" si="22"/>
        <v>391873.69373081368</v>
      </c>
      <c r="G49" s="484">
        <f t="shared" si="23"/>
        <v>103693.81578947368</v>
      </c>
      <c r="H49" s="453">
        <f t="shared" si="24"/>
        <v>103693.81578947368</v>
      </c>
      <c r="I49" s="473">
        <f t="shared" si="4"/>
        <v>0</v>
      </c>
      <c r="J49" s="473"/>
      <c r="K49" s="485"/>
      <c r="L49" s="476">
        <f t="shared" si="25"/>
        <v>0</v>
      </c>
      <c r="M49" s="485"/>
      <c r="N49" s="476">
        <f t="shared" si="5"/>
        <v>0</v>
      </c>
      <c r="O49" s="476">
        <f t="shared" si="6"/>
        <v>0</v>
      </c>
      <c r="P49" s="241"/>
    </row>
    <row r="50" spans="2:16">
      <c r="B50" s="160" t="str">
        <f t="shared" si="3"/>
        <v/>
      </c>
      <c r="C50" s="470">
        <f>IF(D11="","-",+C49+1)</f>
        <v>2047</v>
      </c>
      <c r="D50" s="483">
        <f>IF(F49+SUM(E$17:E49)=D$10,F49,D$10-SUM(E$17:E49))</f>
        <v>391873.69373081368</v>
      </c>
      <c r="E50" s="482">
        <f t="shared" si="21"/>
        <v>59121.815789473687</v>
      </c>
      <c r="F50" s="483">
        <f t="shared" si="22"/>
        <v>332751.87794133998</v>
      </c>
      <c r="G50" s="484">
        <f t="shared" si="23"/>
        <v>96968.81578947368</v>
      </c>
      <c r="H50" s="453">
        <f t="shared" si="24"/>
        <v>96968.81578947368</v>
      </c>
      <c r="I50" s="473">
        <f t="shared" si="4"/>
        <v>0</v>
      </c>
      <c r="J50" s="473"/>
      <c r="K50" s="485"/>
      <c r="L50" s="476">
        <f t="shared" si="25"/>
        <v>0</v>
      </c>
      <c r="M50" s="485"/>
      <c r="N50" s="476">
        <f t="shared" si="5"/>
        <v>0</v>
      </c>
      <c r="O50" s="476">
        <f t="shared" si="6"/>
        <v>0</v>
      </c>
      <c r="P50" s="241"/>
    </row>
    <row r="51" spans="2:16">
      <c r="B51" s="160" t="str">
        <f t="shared" si="3"/>
        <v/>
      </c>
      <c r="C51" s="470">
        <f>IF(D11="","-",+C50+1)</f>
        <v>2048</v>
      </c>
      <c r="D51" s="483">
        <f>IF(F50+SUM(E$17:E50)=D$10,F50,D$10-SUM(E$17:E50))</f>
        <v>332751.87794133998</v>
      </c>
      <c r="E51" s="482">
        <f t="shared" si="21"/>
        <v>59121.815789473687</v>
      </c>
      <c r="F51" s="483">
        <f t="shared" si="22"/>
        <v>273630.06215186627</v>
      </c>
      <c r="G51" s="484">
        <f t="shared" si="23"/>
        <v>90244.81578947368</v>
      </c>
      <c r="H51" s="453">
        <f t="shared" si="24"/>
        <v>90244.81578947368</v>
      </c>
      <c r="I51" s="473">
        <f t="shared" si="4"/>
        <v>0</v>
      </c>
      <c r="J51" s="473"/>
      <c r="K51" s="485"/>
      <c r="L51" s="476">
        <f t="shared" si="25"/>
        <v>0</v>
      </c>
      <c r="M51" s="485"/>
      <c r="N51" s="476">
        <f t="shared" si="5"/>
        <v>0</v>
      </c>
      <c r="O51" s="476">
        <f t="shared" si="6"/>
        <v>0</v>
      </c>
      <c r="P51" s="241"/>
    </row>
    <row r="52" spans="2:16">
      <c r="B52" s="160" t="str">
        <f t="shared" si="3"/>
        <v/>
      </c>
      <c r="C52" s="470">
        <f>IF(D11="","-",+C51+1)</f>
        <v>2049</v>
      </c>
      <c r="D52" s="483">
        <f>IF(F51+SUM(E$17:E51)=D$10,F51,D$10-SUM(E$17:E51))</f>
        <v>273630.06215186627</v>
      </c>
      <c r="E52" s="482">
        <f t="shared" si="21"/>
        <v>59121.815789473687</v>
      </c>
      <c r="F52" s="483">
        <f t="shared" si="22"/>
        <v>214508.24636239259</v>
      </c>
      <c r="G52" s="484">
        <f t="shared" si="23"/>
        <v>83519.81578947368</v>
      </c>
      <c r="H52" s="453">
        <f t="shared" si="24"/>
        <v>83519.81578947368</v>
      </c>
      <c r="I52" s="473">
        <f t="shared" si="4"/>
        <v>0</v>
      </c>
      <c r="J52" s="473"/>
      <c r="K52" s="485"/>
      <c r="L52" s="476">
        <f t="shared" si="25"/>
        <v>0</v>
      </c>
      <c r="M52" s="485"/>
      <c r="N52" s="476">
        <f t="shared" si="5"/>
        <v>0</v>
      </c>
      <c r="O52" s="476">
        <f t="shared" si="6"/>
        <v>0</v>
      </c>
      <c r="P52" s="241"/>
    </row>
    <row r="53" spans="2:16">
      <c r="B53" s="160" t="str">
        <f t="shared" si="3"/>
        <v/>
      </c>
      <c r="C53" s="470">
        <f>IF(D11="","-",+C52+1)</f>
        <v>2050</v>
      </c>
      <c r="D53" s="483">
        <f>IF(F52+SUM(E$17:E52)=D$10,F52,D$10-SUM(E$17:E52))</f>
        <v>214508.24636239259</v>
      </c>
      <c r="E53" s="482">
        <f t="shared" si="21"/>
        <v>59121.815789473687</v>
      </c>
      <c r="F53" s="483">
        <f t="shared" si="22"/>
        <v>155386.43057291891</v>
      </c>
      <c r="G53" s="484">
        <f t="shared" si="23"/>
        <v>76795.81578947368</v>
      </c>
      <c r="H53" s="453">
        <f t="shared" si="24"/>
        <v>76795.81578947368</v>
      </c>
      <c r="I53" s="473">
        <f t="shared" si="4"/>
        <v>0</v>
      </c>
      <c r="J53" s="473"/>
      <c r="K53" s="485"/>
      <c r="L53" s="476">
        <f t="shared" si="25"/>
        <v>0</v>
      </c>
      <c r="M53" s="485"/>
      <c r="N53" s="476">
        <f t="shared" si="5"/>
        <v>0</v>
      </c>
      <c r="O53" s="476">
        <f t="shared" si="6"/>
        <v>0</v>
      </c>
      <c r="P53" s="241"/>
    </row>
    <row r="54" spans="2:16">
      <c r="B54" s="160" t="str">
        <f t="shared" si="3"/>
        <v/>
      </c>
      <c r="C54" s="470">
        <f>IF(D11="","-",+C53+1)</f>
        <v>2051</v>
      </c>
      <c r="D54" s="483">
        <f>IF(F53+SUM(E$17:E53)=D$10,F53,D$10-SUM(E$17:E53))</f>
        <v>155386.43057291891</v>
      </c>
      <c r="E54" s="482">
        <f t="shared" si="21"/>
        <v>59121.815789473687</v>
      </c>
      <c r="F54" s="483">
        <f t="shared" si="22"/>
        <v>96264.614783445228</v>
      </c>
      <c r="G54" s="484">
        <f t="shared" si="23"/>
        <v>70070.81578947368</v>
      </c>
      <c r="H54" s="453">
        <f t="shared" si="24"/>
        <v>70070.81578947368</v>
      </c>
      <c r="I54" s="473">
        <f t="shared" si="4"/>
        <v>0</v>
      </c>
      <c r="J54" s="473"/>
      <c r="K54" s="485"/>
      <c r="L54" s="476">
        <f t="shared" si="25"/>
        <v>0</v>
      </c>
      <c r="M54" s="485"/>
      <c r="N54" s="476">
        <f t="shared" si="5"/>
        <v>0</v>
      </c>
      <c r="O54" s="476">
        <f t="shared" si="6"/>
        <v>0</v>
      </c>
      <c r="P54" s="241"/>
    </row>
    <row r="55" spans="2:16">
      <c r="B55" s="160" t="str">
        <f t="shared" si="3"/>
        <v/>
      </c>
      <c r="C55" s="470">
        <f>IF(D11="","-",+C54+1)</f>
        <v>2052</v>
      </c>
      <c r="D55" s="483">
        <f>IF(F54+SUM(E$17:E54)=D$10,F54,D$10-SUM(E$17:E54))</f>
        <v>96264.614783445228</v>
      </c>
      <c r="E55" s="482">
        <f t="shared" si="21"/>
        <v>59121.815789473687</v>
      </c>
      <c r="F55" s="483">
        <f t="shared" si="22"/>
        <v>37142.798993971541</v>
      </c>
      <c r="G55" s="484">
        <f t="shared" si="23"/>
        <v>63346.815789473687</v>
      </c>
      <c r="H55" s="453">
        <f t="shared" si="24"/>
        <v>63346.815789473687</v>
      </c>
      <c r="I55" s="473">
        <f t="shared" si="4"/>
        <v>0</v>
      </c>
      <c r="J55" s="473"/>
      <c r="K55" s="485"/>
      <c r="L55" s="476">
        <f t="shared" si="25"/>
        <v>0</v>
      </c>
      <c r="M55" s="485"/>
      <c r="N55" s="476">
        <f t="shared" si="5"/>
        <v>0</v>
      </c>
      <c r="O55" s="476">
        <f t="shared" si="6"/>
        <v>0</v>
      </c>
      <c r="P55" s="241"/>
    </row>
    <row r="56" spans="2:16">
      <c r="B56" s="160" t="str">
        <f t="shared" si="3"/>
        <v/>
      </c>
      <c r="C56" s="470">
        <f>IF(D11="","-",+C55+1)</f>
        <v>2053</v>
      </c>
      <c r="D56" s="483">
        <f>IF(F55+SUM(E$17:E55)=D$10,F55,D$10-SUM(E$17:E55))</f>
        <v>37142.798993971541</v>
      </c>
      <c r="E56" s="482">
        <f t="shared" si="21"/>
        <v>37142.798993971541</v>
      </c>
      <c r="F56" s="483">
        <f t="shared" si="22"/>
        <v>0</v>
      </c>
      <c r="G56" s="484">
        <f t="shared" si="23"/>
        <v>37142.798993971541</v>
      </c>
      <c r="H56" s="453">
        <f t="shared" si="24"/>
        <v>37142.798993971541</v>
      </c>
      <c r="I56" s="473">
        <f t="shared" si="4"/>
        <v>0</v>
      </c>
      <c r="J56" s="473"/>
      <c r="K56" s="485"/>
      <c r="L56" s="476">
        <f t="shared" si="25"/>
        <v>0</v>
      </c>
      <c r="M56" s="485"/>
      <c r="N56" s="476">
        <f t="shared" si="5"/>
        <v>0</v>
      </c>
      <c r="O56" s="476">
        <f t="shared" si="6"/>
        <v>0</v>
      </c>
      <c r="P56" s="241"/>
    </row>
    <row r="57" spans="2:16">
      <c r="B57" s="160" t="str">
        <f t="shared" si="3"/>
        <v/>
      </c>
      <c r="C57" s="470">
        <f>IF(D11="","-",+C56+1)</f>
        <v>2054</v>
      </c>
      <c r="D57" s="483">
        <f>IF(F56+SUM(E$17:E56)=D$10,F56,D$10-SUM(E$17:E56))</f>
        <v>0</v>
      </c>
      <c r="E57" s="482">
        <f t="shared" si="21"/>
        <v>0</v>
      </c>
      <c r="F57" s="483">
        <f t="shared" si="22"/>
        <v>0</v>
      </c>
      <c r="G57" s="484">
        <f t="shared" si="23"/>
        <v>0</v>
      </c>
      <c r="H57" s="453">
        <f t="shared" si="24"/>
        <v>0</v>
      </c>
      <c r="I57" s="473">
        <f t="shared" si="4"/>
        <v>0</v>
      </c>
      <c r="J57" s="473"/>
      <c r="K57" s="485"/>
      <c r="L57" s="476">
        <f t="shared" si="25"/>
        <v>0</v>
      </c>
      <c r="M57" s="485"/>
      <c r="N57" s="476">
        <f t="shared" si="5"/>
        <v>0</v>
      </c>
      <c r="O57" s="476">
        <f t="shared" si="6"/>
        <v>0</v>
      </c>
      <c r="P57" s="241"/>
    </row>
    <row r="58" spans="2:16">
      <c r="B58" s="160" t="str">
        <f t="shared" si="3"/>
        <v/>
      </c>
      <c r="C58" s="470">
        <f>IF(D11="","-",+C57+1)</f>
        <v>2055</v>
      </c>
      <c r="D58" s="483">
        <f>IF(F57+SUM(E$17:E57)=D$10,F57,D$10-SUM(E$17:E57))</f>
        <v>0</v>
      </c>
      <c r="E58" s="482">
        <f t="shared" si="21"/>
        <v>0</v>
      </c>
      <c r="F58" s="483">
        <f t="shared" si="22"/>
        <v>0</v>
      </c>
      <c r="G58" s="484">
        <f t="shared" si="23"/>
        <v>0</v>
      </c>
      <c r="H58" s="453">
        <f t="shared" si="24"/>
        <v>0</v>
      </c>
      <c r="I58" s="473">
        <f t="shared" si="4"/>
        <v>0</v>
      </c>
      <c r="J58" s="473"/>
      <c r="K58" s="485"/>
      <c r="L58" s="476">
        <f t="shared" si="25"/>
        <v>0</v>
      </c>
      <c r="M58" s="485"/>
      <c r="N58" s="476">
        <f t="shared" si="5"/>
        <v>0</v>
      </c>
      <c r="O58" s="476">
        <f t="shared" si="6"/>
        <v>0</v>
      </c>
      <c r="P58" s="241"/>
    </row>
    <row r="59" spans="2:16">
      <c r="B59" s="160" t="str">
        <f t="shared" si="3"/>
        <v/>
      </c>
      <c r="C59" s="470">
        <f>IF(D11="","-",+C58+1)</f>
        <v>2056</v>
      </c>
      <c r="D59" s="483">
        <f>IF(F58+SUM(E$17:E58)=D$10,F58,D$10-SUM(E$17:E58))</f>
        <v>0</v>
      </c>
      <c r="E59" s="482">
        <f t="shared" si="21"/>
        <v>0</v>
      </c>
      <c r="F59" s="483">
        <f t="shared" si="22"/>
        <v>0</v>
      </c>
      <c r="G59" s="484">
        <f t="shared" si="23"/>
        <v>0</v>
      </c>
      <c r="H59" s="453">
        <f t="shared" si="24"/>
        <v>0</v>
      </c>
      <c r="I59" s="473">
        <f t="shared" si="4"/>
        <v>0</v>
      </c>
      <c r="J59" s="473"/>
      <c r="K59" s="485"/>
      <c r="L59" s="476">
        <f t="shared" si="25"/>
        <v>0</v>
      </c>
      <c r="M59" s="485"/>
      <c r="N59" s="476">
        <f t="shared" si="5"/>
        <v>0</v>
      </c>
      <c r="O59" s="476">
        <f t="shared" si="6"/>
        <v>0</v>
      </c>
      <c r="P59" s="241"/>
    </row>
    <row r="60" spans="2:16">
      <c r="B60" s="160" t="str">
        <f t="shared" si="3"/>
        <v/>
      </c>
      <c r="C60" s="470">
        <f>IF(D11="","-",+C59+1)</f>
        <v>2057</v>
      </c>
      <c r="D60" s="483">
        <f>IF(F59+SUM(E$17:E59)=D$10,F59,D$10-SUM(E$17:E59))</f>
        <v>0</v>
      </c>
      <c r="E60" s="482">
        <f t="shared" si="21"/>
        <v>0</v>
      </c>
      <c r="F60" s="483">
        <f t="shared" si="22"/>
        <v>0</v>
      </c>
      <c r="G60" s="484">
        <f t="shared" si="23"/>
        <v>0</v>
      </c>
      <c r="H60" s="453">
        <f t="shared" si="24"/>
        <v>0</v>
      </c>
      <c r="I60" s="473">
        <f t="shared" si="4"/>
        <v>0</v>
      </c>
      <c r="J60" s="473"/>
      <c r="K60" s="485"/>
      <c r="L60" s="476">
        <f t="shared" si="25"/>
        <v>0</v>
      </c>
      <c r="M60" s="485"/>
      <c r="N60" s="476">
        <f t="shared" si="5"/>
        <v>0</v>
      </c>
      <c r="O60" s="476">
        <f t="shared" si="6"/>
        <v>0</v>
      </c>
      <c r="P60" s="241"/>
    </row>
    <row r="61" spans="2:16">
      <c r="B61" s="160" t="str">
        <f t="shared" si="3"/>
        <v/>
      </c>
      <c r="C61" s="470">
        <f>IF(D11="","-",+C60+1)</f>
        <v>2058</v>
      </c>
      <c r="D61" s="483">
        <f>IF(F60+SUM(E$17:E60)=D$10,F60,D$10-SUM(E$17:E60))</f>
        <v>0</v>
      </c>
      <c r="E61" s="482">
        <f t="shared" si="21"/>
        <v>0</v>
      </c>
      <c r="F61" s="483">
        <f t="shared" si="22"/>
        <v>0</v>
      </c>
      <c r="G61" s="484">
        <f t="shared" si="23"/>
        <v>0</v>
      </c>
      <c r="H61" s="453">
        <f t="shared" si="24"/>
        <v>0</v>
      </c>
      <c r="I61" s="473">
        <f t="shared" si="4"/>
        <v>0</v>
      </c>
      <c r="J61" s="473"/>
      <c r="K61" s="485"/>
      <c r="L61" s="476">
        <f t="shared" si="25"/>
        <v>0</v>
      </c>
      <c r="M61" s="485"/>
      <c r="N61" s="476">
        <f t="shared" si="5"/>
        <v>0</v>
      </c>
      <c r="O61" s="476">
        <f t="shared" si="6"/>
        <v>0</v>
      </c>
      <c r="P61" s="241"/>
    </row>
    <row r="62" spans="2:16">
      <c r="B62" s="160" t="str">
        <f t="shared" si="3"/>
        <v/>
      </c>
      <c r="C62" s="470">
        <f>IF(D11="","-",+C61+1)</f>
        <v>2059</v>
      </c>
      <c r="D62" s="483">
        <f>IF(F61+SUM(E$17:E61)=D$10,F61,D$10-SUM(E$17:E61))</f>
        <v>0</v>
      </c>
      <c r="E62" s="482">
        <f t="shared" si="21"/>
        <v>0</v>
      </c>
      <c r="F62" s="483">
        <f t="shared" si="22"/>
        <v>0</v>
      </c>
      <c r="G62" s="484">
        <f t="shared" si="23"/>
        <v>0</v>
      </c>
      <c r="H62" s="453">
        <f t="shared" si="24"/>
        <v>0</v>
      </c>
      <c r="I62" s="473">
        <f t="shared" si="4"/>
        <v>0</v>
      </c>
      <c r="J62" s="473"/>
      <c r="K62" s="485"/>
      <c r="L62" s="476">
        <f t="shared" si="25"/>
        <v>0</v>
      </c>
      <c r="M62" s="485"/>
      <c r="N62" s="476">
        <f t="shared" si="5"/>
        <v>0</v>
      </c>
      <c r="O62" s="476">
        <f t="shared" si="6"/>
        <v>0</v>
      </c>
      <c r="P62" s="241"/>
    </row>
    <row r="63" spans="2:16">
      <c r="B63" s="160" t="str">
        <f t="shared" si="3"/>
        <v/>
      </c>
      <c r="C63" s="470">
        <f>IF(D11="","-",+C62+1)</f>
        <v>2060</v>
      </c>
      <c r="D63" s="483">
        <f>IF(F62+SUM(E$17:E62)=D$10,F62,D$10-SUM(E$17:E62))</f>
        <v>0</v>
      </c>
      <c r="E63" s="482">
        <f t="shared" si="21"/>
        <v>0</v>
      </c>
      <c r="F63" s="483">
        <f t="shared" si="22"/>
        <v>0</v>
      </c>
      <c r="G63" s="484">
        <f t="shared" si="23"/>
        <v>0</v>
      </c>
      <c r="H63" s="453">
        <f t="shared" si="24"/>
        <v>0</v>
      </c>
      <c r="I63" s="473">
        <f t="shared" si="4"/>
        <v>0</v>
      </c>
      <c r="J63" s="473"/>
      <c r="K63" s="485"/>
      <c r="L63" s="476">
        <f t="shared" si="25"/>
        <v>0</v>
      </c>
      <c r="M63" s="485"/>
      <c r="N63" s="476">
        <f t="shared" si="5"/>
        <v>0</v>
      </c>
      <c r="O63" s="476">
        <f t="shared" si="6"/>
        <v>0</v>
      </c>
      <c r="P63" s="241"/>
    </row>
    <row r="64" spans="2:16">
      <c r="B64" s="160" t="str">
        <f t="shared" si="3"/>
        <v/>
      </c>
      <c r="C64" s="470">
        <f>IF(D11="","-",+C63+1)</f>
        <v>2061</v>
      </c>
      <c r="D64" s="483">
        <f>IF(F63+SUM(E$17:E63)=D$10,F63,D$10-SUM(E$17:E63))</f>
        <v>0</v>
      </c>
      <c r="E64" s="482">
        <f t="shared" si="21"/>
        <v>0</v>
      </c>
      <c r="F64" s="483">
        <f t="shared" si="22"/>
        <v>0</v>
      </c>
      <c r="G64" s="484">
        <f t="shared" si="23"/>
        <v>0</v>
      </c>
      <c r="H64" s="453">
        <f t="shared" si="24"/>
        <v>0</v>
      </c>
      <c r="I64" s="473">
        <f t="shared" si="4"/>
        <v>0</v>
      </c>
      <c r="J64" s="473"/>
      <c r="K64" s="485"/>
      <c r="L64" s="476">
        <f t="shared" si="25"/>
        <v>0</v>
      </c>
      <c r="M64" s="485"/>
      <c r="N64" s="476">
        <f t="shared" si="5"/>
        <v>0</v>
      </c>
      <c r="O64" s="476">
        <f t="shared" si="6"/>
        <v>0</v>
      </c>
      <c r="P64" s="241"/>
    </row>
    <row r="65" spans="2:16">
      <c r="B65" s="160" t="str">
        <f t="shared" si="3"/>
        <v/>
      </c>
      <c r="C65" s="470">
        <f>IF(D11="","-",+C64+1)</f>
        <v>2062</v>
      </c>
      <c r="D65" s="483">
        <f>IF(F64+SUM(E$17:E64)=D$10,F64,D$10-SUM(E$17:E64))</f>
        <v>0</v>
      </c>
      <c r="E65" s="482">
        <f t="shared" si="21"/>
        <v>0</v>
      </c>
      <c r="F65" s="483">
        <f t="shared" si="22"/>
        <v>0</v>
      </c>
      <c r="G65" s="484">
        <f t="shared" si="23"/>
        <v>0</v>
      </c>
      <c r="H65" s="453">
        <f t="shared" si="24"/>
        <v>0</v>
      </c>
      <c r="I65" s="473">
        <f t="shared" si="4"/>
        <v>0</v>
      </c>
      <c r="J65" s="473"/>
      <c r="K65" s="485"/>
      <c r="L65" s="476">
        <f t="shared" si="25"/>
        <v>0</v>
      </c>
      <c r="M65" s="485"/>
      <c r="N65" s="476">
        <f t="shared" si="5"/>
        <v>0</v>
      </c>
      <c r="O65" s="476">
        <f t="shared" si="6"/>
        <v>0</v>
      </c>
      <c r="P65" s="241"/>
    </row>
    <row r="66" spans="2:16">
      <c r="B66" s="160" t="str">
        <f t="shared" si="3"/>
        <v/>
      </c>
      <c r="C66" s="470">
        <f>IF(D11="","-",+C65+1)</f>
        <v>2063</v>
      </c>
      <c r="D66" s="483">
        <f>IF(F65+SUM(E$17:E65)=D$10,F65,D$10-SUM(E$17:E65))</f>
        <v>0</v>
      </c>
      <c r="E66" s="482">
        <f t="shared" si="21"/>
        <v>0</v>
      </c>
      <c r="F66" s="483">
        <f t="shared" si="22"/>
        <v>0</v>
      </c>
      <c r="G66" s="484">
        <f t="shared" si="23"/>
        <v>0</v>
      </c>
      <c r="H66" s="453">
        <f t="shared" si="24"/>
        <v>0</v>
      </c>
      <c r="I66" s="473">
        <f t="shared" si="4"/>
        <v>0</v>
      </c>
      <c r="J66" s="473"/>
      <c r="K66" s="485"/>
      <c r="L66" s="476">
        <f t="shared" si="25"/>
        <v>0</v>
      </c>
      <c r="M66" s="485"/>
      <c r="N66" s="476">
        <f t="shared" si="5"/>
        <v>0</v>
      </c>
      <c r="O66" s="476">
        <f t="shared" si="6"/>
        <v>0</v>
      </c>
      <c r="P66" s="241"/>
    </row>
    <row r="67" spans="2:16">
      <c r="B67" s="160" t="str">
        <f t="shared" si="3"/>
        <v/>
      </c>
      <c r="C67" s="470">
        <f>IF(D11="","-",+C66+1)</f>
        <v>2064</v>
      </c>
      <c r="D67" s="483">
        <f>IF(F66+SUM(E$17:E66)=D$10,F66,D$10-SUM(E$17:E66))</f>
        <v>0</v>
      </c>
      <c r="E67" s="482">
        <f t="shared" si="21"/>
        <v>0</v>
      </c>
      <c r="F67" s="483">
        <f t="shared" si="22"/>
        <v>0</v>
      </c>
      <c r="G67" s="484">
        <f t="shared" si="23"/>
        <v>0</v>
      </c>
      <c r="H67" s="453">
        <f t="shared" si="24"/>
        <v>0</v>
      </c>
      <c r="I67" s="473">
        <f t="shared" si="4"/>
        <v>0</v>
      </c>
      <c r="J67" s="473"/>
      <c r="K67" s="485"/>
      <c r="L67" s="476">
        <f t="shared" si="25"/>
        <v>0</v>
      </c>
      <c r="M67" s="485"/>
      <c r="N67" s="476">
        <f t="shared" si="5"/>
        <v>0</v>
      </c>
      <c r="O67" s="476">
        <f t="shared" si="6"/>
        <v>0</v>
      </c>
      <c r="P67" s="241"/>
    </row>
    <row r="68" spans="2:16">
      <c r="B68" s="160" t="str">
        <f t="shared" si="3"/>
        <v/>
      </c>
      <c r="C68" s="470">
        <f>IF(D11="","-",+C67+1)</f>
        <v>2065</v>
      </c>
      <c r="D68" s="483">
        <f>IF(F67+SUM(E$17:E67)=D$10,F67,D$10-SUM(E$17:E67))</f>
        <v>0</v>
      </c>
      <c r="E68" s="482">
        <f t="shared" si="21"/>
        <v>0</v>
      </c>
      <c r="F68" s="483">
        <f t="shared" si="22"/>
        <v>0</v>
      </c>
      <c r="G68" s="484">
        <f t="shared" si="23"/>
        <v>0</v>
      </c>
      <c r="H68" s="453">
        <f t="shared" si="24"/>
        <v>0</v>
      </c>
      <c r="I68" s="473">
        <f t="shared" si="4"/>
        <v>0</v>
      </c>
      <c r="J68" s="473"/>
      <c r="K68" s="485"/>
      <c r="L68" s="476">
        <f t="shared" si="25"/>
        <v>0</v>
      </c>
      <c r="M68" s="485"/>
      <c r="N68" s="476">
        <f t="shared" si="5"/>
        <v>0</v>
      </c>
      <c r="O68" s="476">
        <f t="shared" si="6"/>
        <v>0</v>
      </c>
      <c r="P68" s="241"/>
    </row>
    <row r="69" spans="2:16">
      <c r="B69" s="160" t="str">
        <f t="shared" si="3"/>
        <v/>
      </c>
      <c r="C69" s="470">
        <f>IF(D11="","-",+C68+1)</f>
        <v>2066</v>
      </c>
      <c r="D69" s="483">
        <f>IF(F68+SUM(E$17:E68)=D$10,F68,D$10-SUM(E$17:E68))</f>
        <v>0</v>
      </c>
      <c r="E69" s="482">
        <f t="shared" si="21"/>
        <v>0</v>
      </c>
      <c r="F69" s="483">
        <f t="shared" si="22"/>
        <v>0</v>
      </c>
      <c r="G69" s="484">
        <f t="shared" si="23"/>
        <v>0</v>
      </c>
      <c r="H69" s="453">
        <f t="shared" si="24"/>
        <v>0</v>
      </c>
      <c r="I69" s="473">
        <f t="shared" si="4"/>
        <v>0</v>
      </c>
      <c r="J69" s="473"/>
      <c r="K69" s="485"/>
      <c r="L69" s="476">
        <f t="shared" si="25"/>
        <v>0</v>
      </c>
      <c r="M69" s="485"/>
      <c r="N69" s="476">
        <f t="shared" si="5"/>
        <v>0</v>
      </c>
      <c r="O69" s="476">
        <f t="shared" si="6"/>
        <v>0</v>
      </c>
      <c r="P69" s="241"/>
    </row>
    <row r="70" spans="2:16">
      <c r="B70" s="160" t="str">
        <f t="shared" si="3"/>
        <v/>
      </c>
      <c r="C70" s="470">
        <f>IF(D11="","-",+C69+1)</f>
        <v>2067</v>
      </c>
      <c r="D70" s="483">
        <f>IF(F69+SUM(E$17:E69)=D$10,F69,D$10-SUM(E$17:E69))</f>
        <v>0</v>
      </c>
      <c r="E70" s="482">
        <f t="shared" si="21"/>
        <v>0</v>
      </c>
      <c r="F70" s="483">
        <f t="shared" si="22"/>
        <v>0</v>
      </c>
      <c r="G70" s="484">
        <f t="shared" si="23"/>
        <v>0</v>
      </c>
      <c r="H70" s="453">
        <f t="shared" si="24"/>
        <v>0</v>
      </c>
      <c r="I70" s="473">
        <f t="shared" si="4"/>
        <v>0</v>
      </c>
      <c r="J70" s="473"/>
      <c r="K70" s="485"/>
      <c r="L70" s="476">
        <f t="shared" si="25"/>
        <v>0</v>
      </c>
      <c r="M70" s="485"/>
      <c r="N70" s="476">
        <f t="shared" si="5"/>
        <v>0</v>
      </c>
      <c r="O70" s="476">
        <f t="shared" si="6"/>
        <v>0</v>
      </c>
      <c r="P70" s="241"/>
    </row>
    <row r="71" spans="2:16">
      <c r="B71" s="160" t="str">
        <f t="shared" si="3"/>
        <v/>
      </c>
      <c r="C71" s="470">
        <f>IF(D11="","-",+C70+1)</f>
        <v>2068</v>
      </c>
      <c r="D71" s="483">
        <f>IF(F70+SUM(E$17:E70)=D$10,F70,D$10-SUM(E$17:E70))</f>
        <v>0</v>
      </c>
      <c r="E71" s="482">
        <f t="shared" si="21"/>
        <v>0</v>
      </c>
      <c r="F71" s="483">
        <f t="shared" si="22"/>
        <v>0</v>
      </c>
      <c r="G71" s="484">
        <f t="shared" si="23"/>
        <v>0</v>
      </c>
      <c r="H71" s="453">
        <f t="shared" si="24"/>
        <v>0</v>
      </c>
      <c r="I71" s="473">
        <f t="shared" si="4"/>
        <v>0</v>
      </c>
      <c r="J71" s="473"/>
      <c r="K71" s="485"/>
      <c r="L71" s="476">
        <f t="shared" si="25"/>
        <v>0</v>
      </c>
      <c r="M71" s="485"/>
      <c r="N71" s="476">
        <f t="shared" si="5"/>
        <v>0</v>
      </c>
      <c r="O71" s="476">
        <f t="shared" si="6"/>
        <v>0</v>
      </c>
      <c r="P71" s="241"/>
    </row>
    <row r="72" spans="2:16" ht="13.5" thickBot="1">
      <c r="B72" s="160" t="str">
        <f t="shared" si="3"/>
        <v/>
      </c>
      <c r="C72" s="487">
        <f>IF(D11="","-",+C71+1)</f>
        <v>2069</v>
      </c>
      <c r="D72" s="483">
        <f>IF(F71+SUM(E$17:E71)=D$10,F71,D$10-SUM(E$17:E71))</f>
        <v>0</v>
      </c>
      <c r="E72" s="482">
        <f t="shared" si="21"/>
        <v>0</v>
      </c>
      <c r="F72" s="483">
        <f t="shared" si="22"/>
        <v>0</v>
      </c>
      <c r="G72" s="484">
        <f t="shared" si="23"/>
        <v>0</v>
      </c>
      <c r="H72" s="453">
        <f t="shared" si="24"/>
        <v>0</v>
      </c>
      <c r="I72" s="473">
        <f t="shared" si="4"/>
        <v>0</v>
      </c>
      <c r="J72" s="473"/>
      <c r="K72" s="492"/>
      <c r="L72" s="493">
        <f t="shared" si="25"/>
        <v>0</v>
      </c>
      <c r="M72" s="492"/>
      <c r="N72" s="493">
        <f t="shared" si="5"/>
        <v>0</v>
      </c>
      <c r="O72" s="493">
        <f t="shared" si="6"/>
        <v>0</v>
      </c>
      <c r="P72" s="241"/>
    </row>
    <row r="73" spans="2:16">
      <c r="C73" s="345" t="s">
        <v>77</v>
      </c>
      <c r="D73" s="346"/>
      <c r="E73" s="346">
        <f>SUM(E17:E72)</f>
        <v>2246629</v>
      </c>
      <c r="F73" s="346"/>
      <c r="G73" s="346">
        <f>SUM(G17:G72)</f>
        <v>7541853.2931857863</v>
      </c>
      <c r="H73" s="346">
        <f>SUM(H17:H72)</f>
        <v>7541853.2931857863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15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248552.15642857144</v>
      </c>
      <c r="N87" s="506">
        <f>IF(J92&lt;D11,0,VLOOKUP(J92,C17:O72,11))</f>
        <v>248552.15642857144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258893.42584774771</v>
      </c>
      <c r="N88" s="510">
        <f>IF(J92&lt;D11,0,VLOOKUP(J92,C99:P154,7))</f>
        <v>258893.42584774771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Locust Grove to Lone Star 115 kV Rebuild 2.1 miles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10341.269419176271</v>
      </c>
      <c r="N89" s="515">
        <f>+N88-N87</f>
        <v>10341.269419176271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TP2009093</v>
      </c>
      <c r="E91" s="520" t="str">
        <f>E9</f>
        <v xml:space="preserve">  SPP Project ID = 649</v>
      </c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445">
        <f>+D10</f>
        <v>2246629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602" t="s">
        <v>272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f>+D12</f>
        <v>2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54796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 t="str">
        <f>IF(D93= "","-",D93)</f>
        <v>2014</v>
      </c>
      <c r="D99" s="582">
        <v>0</v>
      </c>
      <c r="E99" s="583">
        <v>36003.333333333336</v>
      </c>
      <c r="F99" s="584">
        <v>2210625.2366666663</v>
      </c>
      <c r="G99" s="603">
        <v>1105312.6183333332</v>
      </c>
      <c r="H99" s="604">
        <v>191405.76922123961</v>
      </c>
      <c r="I99" s="605">
        <v>191405.76922123961</v>
      </c>
      <c r="J99" s="476">
        <v>0</v>
      </c>
      <c r="K99" s="476"/>
      <c r="L99" s="474">
        <f t="shared" ref="L99:L105" si="26">H99</f>
        <v>191405.76922123961</v>
      </c>
      <c r="M99" s="347">
        <f t="shared" ref="M99:M105" si="27">IF(L99&lt;&gt;0,+H99-L99,0)</f>
        <v>0</v>
      </c>
      <c r="N99" s="474">
        <f t="shared" ref="N99:N105" si="28">I99</f>
        <v>191405.76922123961</v>
      </c>
      <c r="O99" s="473">
        <f>IF(N99&lt;&gt;0,+I99-N99,0)</f>
        <v>0</v>
      </c>
      <c r="P99" s="476">
        <f>+O99-M99</f>
        <v>0</v>
      </c>
    </row>
    <row r="100" spans="1:16">
      <c r="B100" s="160" t="str">
        <f>IF(D100=F99,"","IU")</f>
        <v/>
      </c>
      <c r="C100" s="470">
        <f>IF(D93="","-",+C99+1)</f>
        <v>2015</v>
      </c>
      <c r="D100" s="582">
        <v>2210625.2366666663</v>
      </c>
      <c r="E100" s="583">
        <v>43204</v>
      </c>
      <c r="F100" s="584">
        <v>2167421.2366666663</v>
      </c>
      <c r="G100" s="584">
        <v>2189023.2366666663</v>
      </c>
      <c r="H100" s="604">
        <v>341878.62002899748</v>
      </c>
      <c r="I100" s="605">
        <v>341878.62002899748</v>
      </c>
      <c r="J100" s="476">
        <f>+I100-H100</f>
        <v>0</v>
      </c>
      <c r="K100" s="476"/>
      <c r="L100" s="474">
        <f t="shared" si="26"/>
        <v>341878.62002899748</v>
      </c>
      <c r="M100" s="347">
        <f t="shared" si="27"/>
        <v>0</v>
      </c>
      <c r="N100" s="474">
        <f t="shared" si="28"/>
        <v>341878.62002899748</v>
      </c>
      <c r="O100" s="473">
        <f>IF(N100&lt;&gt;0,+I100-N100,0)</f>
        <v>0</v>
      </c>
      <c r="P100" s="476">
        <f>+O100-M100</f>
        <v>0</v>
      </c>
    </row>
    <row r="101" spans="1:16">
      <c r="B101" s="160" t="str">
        <f t="shared" ref="B101:B154" si="29">IF(D101=F100,"","IU")</f>
        <v/>
      </c>
      <c r="C101" s="470">
        <f>IF(D93="","-",+C100+1)</f>
        <v>2016</v>
      </c>
      <c r="D101" s="582">
        <v>2167421.2366666663</v>
      </c>
      <c r="E101" s="583">
        <v>48840</v>
      </c>
      <c r="F101" s="584">
        <v>2118581.2366666663</v>
      </c>
      <c r="G101" s="584">
        <v>2143001.2366666663</v>
      </c>
      <c r="H101" s="604">
        <v>325106.60926354182</v>
      </c>
      <c r="I101" s="605">
        <v>325106.60926354182</v>
      </c>
      <c r="J101" s="476">
        <f t="shared" ref="J101:J154" si="30">+I101-H101</f>
        <v>0</v>
      </c>
      <c r="K101" s="476"/>
      <c r="L101" s="474">
        <f t="shared" si="26"/>
        <v>325106.60926354182</v>
      </c>
      <c r="M101" s="347">
        <f t="shared" si="27"/>
        <v>0</v>
      </c>
      <c r="N101" s="474">
        <f t="shared" si="28"/>
        <v>325106.60926354182</v>
      </c>
      <c r="O101" s="473">
        <f>IF(N101&lt;&gt;0,+I101-N101,0)</f>
        <v>0</v>
      </c>
      <c r="P101" s="476">
        <f>+O101-M101</f>
        <v>0</v>
      </c>
    </row>
    <row r="102" spans="1:16">
      <c r="B102" s="160" t="str">
        <f t="shared" si="29"/>
        <v/>
      </c>
      <c r="C102" s="470">
        <f>IF(D93="","-",+C101+1)</f>
        <v>2017</v>
      </c>
      <c r="D102" s="582">
        <v>2118581.2366666663</v>
      </c>
      <c r="E102" s="583">
        <v>48840</v>
      </c>
      <c r="F102" s="584">
        <v>2069741.2366666663</v>
      </c>
      <c r="G102" s="584">
        <v>2094161.2366666663</v>
      </c>
      <c r="H102" s="604">
        <v>314489.63330060086</v>
      </c>
      <c r="I102" s="605">
        <v>314489.63330060086</v>
      </c>
      <c r="J102" s="476">
        <f t="shared" si="30"/>
        <v>0</v>
      </c>
      <c r="K102" s="476"/>
      <c r="L102" s="474">
        <f t="shared" si="26"/>
        <v>314489.63330060086</v>
      </c>
      <c r="M102" s="347">
        <f t="shared" si="27"/>
        <v>0</v>
      </c>
      <c r="N102" s="474">
        <f t="shared" si="28"/>
        <v>314489.63330060086</v>
      </c>
      <c r="O102" s="473">
        <f>IF(N102&lt;&gt;0,+I102-N102,0)</f>
        <v>0</v>
      </c>
      <c r="P102" s="476">
        <f>+O102-M102</f>
        <v>0</v>
      </c>
    </row>
    <row r="103" spans="1:16">
      <c r="B103" s="160" t="str">
        <f t="shared" si="29"/>
        <v/>
      </c>
      <c r="C103" s="470">
        <f>IF(D93="","-",+C102+1)</f>
        <v>2018</v>
      </c>
      <c r="D103" s="582">
        <v>2069741.2366666663</v>
      </c>
      <c r="E103" s="583">
        <v>52247</v>
      </c>
      <c r="F103" s="584">
        <v>2017494.2366666663</v>
      </c>
      <c r="G103" s="584">
        <v>2043617.7366666663</v>
      </c>
      <c r="H103" s="604">
        <v>262199.22655399318</v>
      </c>
      <c r="I103" s="605">
        <v>262199.22655399318</v>
      </c>
      <c r="J103" s="476">
        <f t="shared" si="30"/>
        <v>0</v>
      </c>
      <c r="K103" s="476"/>
      <c r="L103" s="474">
        <f t="shared" si="26"/>
        <v>262199.22655399318</v>
      </c>
      <c r="M103" s="347">
        <f t="shared" si="27"/>
        <v>0</v>
      </c>
      <c r="N103" s="474">
        <f t="shared" si="28"/>
        <v>262199.22655399318</v>
      </c>
      <c r="O103" s="473">
        <f>IF(N103&lt;&gt;0,+I103-N103,0)</f>
        <v>0</v>
      </c>
      <c r="P103" s="476">
        <f>+O103-M103</f>
        <v>0</v>
      </c>
    </row>
    <row r="104" spans="1:16">
      <c r="B104" s="160" t="str">
        <f t="shared" si="29"/>
        <v/>
      </c>
      <c r="C104" s="470">
        <f>IF(D93="","-",+C103+1)</f>
        <v>2019</v>
      </c>
      <c r="D104" s="582">
        <v>2017494.2366666663</v>
      </c>
      <c r="E104" s="583">
        <v>54796</v>
      </c>
      <c r="F104" s="584">
        <v>1962698.2366666663</v>
      </c>
      <c r="G104" s="584">
        <v>1990096.2366666663</v>
      </c>
      <c r="H104" s="604">
        <v>260002.83525061089</v>
      </c>
      <c r="I104" s="605">
        <v>260002.83525061089</v>
      </c>
      <c r="J104" s="476">
        <f t="shared" si="30"/>
        <v>0</v>
      </c>
      <c r="K104" s="476"/>
      <c r="L104" s="474">
        <f t="shared" si="26"/>
        <v>260002.83525061089</v>
      </c>
      <c r="M104" s="347">
        <f t="shared" si="27"/>
        <v>0</v>
      </c>
      <c r="N104" s="474">
        <f t="shared" si="28"/>
        <v>260002.83525061089</v>
      </c>
      <c r="O104" s="476">
        <f t="shared" ref="O104:O130" si="31">IF(N104&lt;&gt;0,+I104-N104,0)</f>
        <v>0</v>
      </c>
      <c r="P104" s="476">
        <f t="shared" ref="P104:P130" si="32">+O104-M104</f>
        <v>0</v>
      </c>
    </row>
    <row r="105" spans="1:16">
      <c r="B105" s="160" t="str">
        <f t="shared" si="29"/>
        <v/>
      </c>
      <c r="C105" s="470">
        <f>IF(D93="","-",+C104+1)</f>
        <v>2020</v>
      </c>
      <c r="D105" s="582">
        <v>1962698.2366666663</v>
      </c>
      <c r="E105" s="583">
        <v>52247</v>
      </c>
      <c r="F105" s="584">
        <v>1910451.2366666663</v>
      </c>
      <c r="G105" s="584">
        <v>1936574.7366666663</v>
      </c>
      <c r="H105" s="604">
        <v>275528.74296443292</v>
      </c>
      <c r="I105" s="605">
        <v>275528.74296443292</v>
      </c>
      <c r="J105" s="476">
        <f t="shared" si="30"/>
        <v>0</v>
      </c>
      <c r="K105" s="476"/>
      <c r="L105" s="474">
        <f t="shared" si="26"/>
        <v>275528.74296443292</v>
      </c>
      <c r="M105" s="347">
        <f t="shared" si="27"/>
        <v>0</v>
      </c>
      <c r="N105" s="474">
        <f t="shared" si="28"/>
        <v>275528.74296443292</v>
      </c>
      <c r="O105" s="476">
        <f t="shared" si="31"/>
        <v>0</v>
      </c>
      <c r="P105" s="476">
        <f t="shared" si="32"/>
        <v>0</v>
      </c>
    </row>
    <row r="106" spans="1:16">
      <c r="B106" s="160" t="str">
        <f t="shared" si="29"/>
        <v/>
      </c>
      <c r="C106" s="470">
        <f>IF(D93="","-",+C105+1)</f>
        <v>2021</v>
      </c>
      <c r="D106" s="582">
        <v>1910451.2366666663</v>
      </c>
      <c r="E106" s="583">
        <v>54796</v>
      </c>
      <c r="F106" s="584">
        <v>1855655.2366666663</v>
      </c>
      <c r="G106" s="584">
        <v>1883053.2366666663</v>
      </c>
      <c r="H106" s="604">
        <v>269073.88722723804</v>
      </c>
      <c r="I106" s="605">
        <v>269073.88722723804</v>
      </c>
      <c r="J106" s="476">
        <f t="shared" si="30"/>
        <v>0</v>
      </c>
      <c r="K106" s="476"/>
      <c r="L106" s="474">
        <f t="shared" ref="L106" si="33">H106</f>
        <v>269073.88722723804</v>
      </c>
      <c r="M106" s="347">
        <f t="shared" ref="M106" si="34">IF(L106&lt;&gt;0,+H106-L106,0)</f>
        <v>0</v>
      </c>
      <c r="N106" s="474">
        <f t="shared" ref="N106" si="35">I106</f>
        <v>269073.88722723804</v>
      </c>
      <c r="O106" s="476">
        <f t="shared" ref="O106" si="36">IF(N106&lt;&gt;0,+I106-N106,0)</f>
        <v>0</v>
      </c>
      <c r="P106" s="476">
        <f t="shared" ref="P106" si="37">+O106-M106</f>
        <v>0</v>
      </c>
    </row>
    <row r="107" spans="1:16">
      <c r="B107" s="160" t="str">
        <f t="shared" si="29"/>
        <v/>
      </c>
      <c r="C107" s="631">
        <f>IF(D93="","-",+C106+1)</f>
        <v>2022</v>
      </c>
      <c r="D107" s="345">
        <v>1855655.2366666663</v>
      </c>
      <c r="E107" s="482">
        <v>57606</v>
      </c>
      <c r="F107" s="483">
        <v>1798049.2366666663</v>
      </c>
      <c r="G107" s="483">
        <v>1826852.2366666663</v>
      </c>
      <c r="H107" s="486">
        <v>258893.42584774771</v>
      </c>
      <c r="I107" s="540">
        <v>258893.42584774771</v>
      </c>
      <c r="J107" s="476">
        <f t="shared" si="30"/>
        <v>0</v>
      </c>
      <c r="K107" s="476"/>
      <c r="L107" s="485"/>
      <c r="M107" s="476">
        <f t="shared" ref="M107:M130" si="38">IF(L107&lt;&gt;0,+H107-L107,0)</f>
        <v>0</v>
      </c>
      <c r="N107" s="485"/>
      <c r="O107" s="476">
        <f t="shared" si="31"/>
        <v>0</v>
      </c>
      <c r="P107" s="476">
        <f t="shared" si="32"/>
        <v>0</v>
      </c>
    </row>
    <row r="108" spans="1:16">
      <c r="B108" s="160" t="str">
        <f t="shared" si="29"/>
        <v>IU</v>
      </c>
      <c r="C108" s="470">
        <f>IF(D93="","-",+C107+1)</f>
        <v>2023</v>
      </c>
      <c r="D108" s="345">
        <f>IF(F107+SUM(E$99:E107)=D$92,F107,D$92-SUM(E$99:E107))</f>
        <v>1798049.6666666665</v>
      </c>
      <c r="E108" s="482">
        <f t="shared" ref="E108:E154" si="39">IF(+J$96&lt;F107,J$96,D108)</f>
        <v>54796</v>
      </c>
      <c r="F108" s="483">
        <f t="shared" ref="F108:F154" si="40">+D108-E108</f>
        <v>1743253.6666666665</v>
      </c>
      <c r="G108" s="483">
        <f t="shared" ref="G108:G154" si="41">+(F108+D108)/2</f>
        <v>1770651.6666666665</v>
      </c>
      <c r="H108" s="486">
        <f t="shared" ref="H108:H154" si="42">+J$94*G108+E108</f>
        <v>256283.39863581641</v>
      </c>
      <c r="I108" s="540">
        <f t="shared" ref="I108:I154" si="43">+J$95*G108+E108</f>
        <v>256283.39863581641</v>
      </c>
      <c r="J108" s="476">
        <f t="shared" si="30"/>
        <v>0</v>
      </c>
      <c r="K108" s="476"/>
      <c r="L108" s="485"/>
      <c r="M108" s="476">
        <f t="shared" si="38"/>
        <v>0</v>
      </c>
      <c r="N108" s="485"/>
      <c r="O108" s="476">
        <f t="shared" si="31"/>
        <v>0</v>
      </c>
      <c r="P108" s="476">
        <f t="shared" si="32"/>
        <v>0</v>
      </c>
    </row>
    <row r="109" spans="1:16">
      <c r="B109" s="160" t="str">
        <f t="shared" si="29"/>
        <v/>
      </c>
      <c r="C109" s="470">
        <f>IF(D93="","-",+C108+1)</f>
        <v>2024</v>
      </c>
      <c r="D109" s="345">
        <f>IF(F108+SUM(E$99:E108)=D$92,F108,D$92-SUM(E$99:E108))</f>
        <v>1743253.6666666665</v>
      </c>
      <c r="E109" s="482">
        <f t="shared" si="39"/>
        <v>54796</v>
      </c>
      <c r="F109" s="483">
        <f t="shared" si="40"/>
        <v>1688457.6666666665</v>
      </c>
      <c r="G109" s="483">
        <f t="shared" si="41"/>
        <v>1715855.6666666665</v>
      </c>
      <c r="H109" s="486">
        <f t="shared" si="42"/>
        <v>250048.00874886435</v>
      </c>
      <c r="I109" s="540">
        <f t="shared" si="43"/>
        <v>250048.00874886435</v>
      </c>
      <c r="J109" s="476">
        <f t="shared" si="30"/>
        <v>0</v>
      </c>
      <c r="K109" s="476"/>
      <c r="L109" s="485"/>
      <c r="M109" s="476">
        <f t="shared" si="38"/>
        <v>0</v>
      </c>
      <c r="N109" s="485"/>
      <c r="O109" s="476">
        <f t="shared" si="31"/>
        <v>0</v>
      </c>
      <c r="P109" s="476">
        <f t="shared" si="32"/>
        <v>0</v>
      </c>
    </row>
    <row r="110" spans="1:16">
      <c r="B110" s="160" t="str">
        <f t="shared" si="29"/>
        <v/>
      </c>
      <c r="C110" s="470">
        <f>IF(D93="","-",+C109+1)</f>
        <v>2025</v>
      </c>
      <c r="D110" s="345">
        <f>IF(F109+SUM(E$99:E109)=D$92,F109,D$92-SUM(E$99:E109))</f>
        <v>1688457.6666666665</v>
      </c>
      <c r="E110" s="482">
        <f t="shared" si="39"/>
        <v>54796</v>
      </c>
      <c r="F110" s="483">
        <f t="shared" si="40"/>
        <v>1633661.6666666665</v>
      </c>
      <c r="G110" s="483">
        <f t="shared" si="41"/>
        <v>1661059.6666666665</v>
      </c>
      <c r="H110" s="486">
        <f t="shared" si="42"/>
        <v>243812.61886191225</v>
      </c>
      <c r="I110" s="540">
        <f t="shared" si="43"/>
        <v>243812.61886191225</v>
      </c>
      <c r="J110" s="476">
        <f t="shared" si="30"/>
        <v>0</v>
      </c>
      <c r="K110" s="476"/>
      <c r="L110" s="485"/>
      <c r="M110" s="476">
        <f t="shared" si="38"/>
        <v>0</v>
      </c>
      <c r="N110" s="485"/>
      <c r="O110" s="476">
        <f t="shared" si="31"/>
        <v>0</v>
      </c>
      <c r="P110" s="476">
        <f t="shared" si="32"/>
        <v>0</v>
      </c>
    </row>
    <row r="111" spans="1:16">
      <c r="B111" s="160" t="str">
        <f t="shared" si="29"/>
        <v/>
      </c>
      <c r="C111" s="470">
        <f>IF(D93="","-",+C110+1)</f>
        <v>2026</v>
      </c>
      <c r="D111" s="345">
        <f>IF(F110+SUM(E$99:E110)=D$92,F110,D$92-SUM(E$99:E110))</f>
        <v>1633661.6666666665</v>
      </c>
      <c r="E111" s="482">
        <f t="shared" si="39"/>
        <v>54796</v>
      </c>
      <c r="F111" s="483">
        <f t="shared" si="40"/>
        <v>1578865.6666666665</v>
      </c>
      <c r="G111" s="483">
        <f t="shared" si="41"/>
        <v>1606263.6666666665</v>
      </c>
      <c r="H111" s="486">
        <f t="shared" si="42"/>
        <v>237577.22897496016</v>
      </c>
      <c r="I111" s="540">
        <f t="shared" si="43"/>
        <v>237577.22897496016</v>
      </c>
      <c r="J111" s="476">
        <f t="shared" si="30"/>
        <v>0</v>
      </c>
      <c r="K111" s="476"/>
      <c r="L111" s="485"/>
      <c r="M111" s="476">
        <f t="shared" si="38"/>
        <v>0</v>
      </c>
      <c r="N111" s="485"/>
      <c r="O111" s="476">
        <f t="shared" si="31"/>
        <v>0</v>
      </c>
      <c r="P111" s="476">
        <f t="shared" si="32"/>
        <v>0</v>
      </c>
    </row>
    <row r="112" spans="1:16">
      <c r="B112" s="160" t="str">
        <f t="shared" si="29"/>
        <v/>
      </c>
      <c r="C112" s="470">
        <f>IF(D93="","-",+C111+1)</f>
        <v>2027</v>
      </c>
      <c r="D112" s="345">
        <f>IF(F111+SUM(E$99:E111)=D$92,F111,D$92-SUM(E$99:E111))</f>
        <v>1578865.6666666665</v>
      </c>
      <c r="E112" s="482">
        <f t="shared" si="39"/>
        <v>54796</v>
      </c>
      <c r="F112" s="483">
        <f t="shared" si="40"/>
        <v>1524069.6666666665</v>
      </c>
      <c r="G112" s="483">
        <f t="shared" si="41"/>
        <v>1551467.6666666665</v>
      </c>
      <c r="H112" s="486">
        <f t="shared" si="42"/>
        <v>231341.83908800807</v>
      </c>
      <c r="I112" s="540">
        <f t="shared" si="43"/>
        <v>231341.83908800807</v>
      </c>
      <c r="J112" s="476">
        <f t="shared" si="30"/>
        <v>0</v>
      </c>
      <c r="K112" s="476"/>
      <c r="L112" s="485"/>
      <c r="M112" s="476">
        <f t="shared" si="38"/>
        <v>0</v>
      </c>
      <c r="N112" s="485"/>
      <c r="O112" s="476">
        <f t="shared" si="31"/>
        <v>0</v>
      </c>
      <c r="P112" s="476">
        <f t="shared" si="32"/>
        <v>0</v>
      </c>
    </row>
    <row r="113" spans="2:16">
      <c r="B113" s="160" t="str">
        <f t="shared" si="29"/>
        <v/>
      </c>
      <c r="C113" s="470">
        <f>IF(D93="","-",+C112+1)</f>
        <v>2028</v>
      </c>
      <c r="D113" s="345">
        <f>IF(F112+SUM(E$99:E112)=D$92,F112,D$92-SUM(E$99:E112))</f>
        <v>1524069.6666666665</v>
      </c>
      <c r="E113" s="482">
        <f t="shared" si="39"/>
        <v>54796</v>
      </c>
      <c r="F113" s="483">
        <f t="shared" si="40"/>
        <v>1469273.6666666665</v>
      </c>
      <c r="G113" s="483">
        <f t="shared" si="41"/>
        <v>1496671.6666666665</v>
      </c>
      <c r="H113" s="486">
        <f t="shared" si="42"/>
        <v>225106.44920105598</v>
      </c>
      <c r="I113" s="540">
        <f t="shared" si="43"/>
        <v>225106.44920105598</v>
      </c>
      <c r="J113" s="476">
        <f t="shared" si="30"/>
        <v>0</v>
      </c>
      <c r="K113" s="476"/>
      <c r="L113" s="485"/>
      <c r="M113" s="476">
        <f t="shared" si="38"/>
        <v>0</v>
      </c>
      <c r="N113" s="485"/>
      <c r="O113" s="476">
        <f t="shared" si="31"/>
        <v>0</v>
      </c>
      <c r="P113" s="476">
        <f t="shared" si="32"/>
        <v>0</v>
      </c>
    </row>
    <row r="114" spans="2:16">
      <c r="B114" s="160" t="str">
        <f t="shared" si="29"/>
        <v/>
      </c>
      <c r="C114" s="470">
        <f>IF(D93="","-",+C113+1)</f>
        <v>2029</v>
      </c>
      <c r="D114" s="345">
        <f>IF(F113+SUM(E$99:E113)=D$92,F113,D$92-SUM(E$99:E113))</f>
        <v>1469273.6666666665</v>
      </c>
      <c r="E114" s="482">
        <f t="shared" si="39"/>
        <v>54796</v>
      </c>
      <c r="F114" s="483">
        <f t="shared" si="40"/>
        <v>1414477.6666666665</v>
      </c>
      <c r="G114" s="483">
        <f t="shared" si="41"/>
        <v>1441875.6666666665</v>
      </c>
      <c r="H114" s="486">
        <f t="shared" si="42"/>
        <v>218871.05931410388</v>
      </c>
      <c r="I114" s="540">
        <f t="shared" si="43"/>
        <v>218871.05931410388</v>
      </c>
      <c r="J114" s="476">
        <f t="shared" si="30"/>
        <v>0</v>
      </c>
      <c r="K114" s="476"/>
      <c r="L114" s="485"/>
      <c r="M114" s="476">
        <f t="shared" si="38"/>
        <v>0</v>
      </c>
      <c r="N114" s="485"/>
      <c r="O114" s="476">
        <f t="shared" si="31"/>
        <v>0</v>
      </c>
      <c r="P114" s="476">
        <f t="shared" si="32"/>
        <v>0</v>
      </c>
    </row>
    <row r="115" spans="2:16">
      <c r="B115" s="160" t="str">
        <f t="shared" si="29"/>
        <v/>
      </c>
      <c r="C115" s="470">
        <f>IF(D93="","-",+C114+1)</f>
        <v>2030</v>
      </c>
      <c r="D115" s="345">
        <f>IF(F114+SUM(E$99:E114)=D$92,F114,D$92-SUM(E$99:E114))</f>
        <v>1414477.6666666665</v>
      </c>
      <c r="E115" s="482">
        <f t="shared" si="39"/>
        <v>54796</v>
      </c>
      <c r="F115" s="483">
        <f t="shared" si="40"/>
        <v>1359681.6666666665</v>
      </c>
      <c r="G115" s="483">
        <f t="shared" si="41"/>
        <v>1387079.6666666665</v>
      </c>
      <c r="H115" s="486">
        <f t="shared" si="42"/>
        <v>212635.66942715179</v>
      </c>
      <c r="I115" s="540">
        <f t="shared" si="43"/>
        <v>212635.66942715179</v>
      </c>
      <c r="J115" s="476">
        <f t="shared" si="30"/>
        <v>0</v>
      </c>
      <c r="K115" s="476"/>
      <c r="L115" s="485"/>
      <c r="M115" s="476">
        <f t="shared" si="38"/>
        <v>0</v>
      </c>
      <c r="N115" s="485"/>
      <c r="O115" s="476">
        <f t="shared" si="31"/>
        <v>0</v>
      </c>
      <c r="P115" s="476">
        <f t="shared" si="32"/>
        <v>0</v>
      </c>
    </row>
    <row r="116" spans="2:16">
      <c r="B116" s="160" t="str">
        <f t="shared" si="29"/>
        <v/>
      </c>
      <c r="C116" s="470">
        <f>IF(D93="","-",+C115+1)</f>
        <v>2031</v>
      </c>
      <c r="D116" s="345">
        <f>IF(F115+SUM(E$99:E115)=D$92,F115,D$92-SUM(E$99:E115))</f>
        <v>1359681.6666666665</v>
      </c>
      <c r="E116" s="482">
        <f t="shared" si="39"/>
        <v>54796</v>
      </c>
      <c r="F116" s="483">
        <f t="shared" si="40"/>
        <v>1304885.6666666665</v>
      </c>
      <c r="G116" s="483">
        <f t="shared" si="41"/>
        <v>1332283.6666666665</v>
      </c>
      <c r="H116" s="486">
        <f t="shared" si="42"/>
        <v>206400.2795401997</v>
      </c>
      <c r="I116" s="540">
        <f t="shared" si="43"/>
        <v>206400.2795401997</v>
      </c>
      <c r="J116" s="476">
        <f t="shared" si="30"/>
        <v>0</v>
      </c>
      <c r="K116" s="476"/>
      <c r="L116" s="485"/>
      <c r="M116" s="476">
        <f t="shared" si="38"/>
        <v>0</v>
      </c>
      <c r="N116" s="485"/>
      <c r="O116" s="476">
        <f t="shared" si="31"/>
        <v>0</v>
      </c>
      <c r="P116" s="476">
        <f t="shared" si="32"/>
        <v>0</v>
      </c>
    </row>
    <row r="117" spans="2:16">
      <c r="B117" s="160" t="str">
        <f t="shared" si="29"/>
        <v/>
      </c>
      <c r="C117" s="470">
        <f>IF(D93="","-",+C116+1)</f>
        <v>2032</v>
      </c>
      <c r="D117" s="345">
        <f>IF(F116+SUM(E$99:E116)=D$92,F116,D$92-SUM(E$99:E116))</f>
        <v>1304885.6666666665</v>
      </c>
      <c r="E117" s="482">
        <f t="shared" si="39"/>
        <v>54796</v>
      </c>
      <c r="F117" s="483">
        <f t="shared" si="40"/>
        <v>1250089.6666666665</v>
      </c>
      <c r="G117" s="483">
        <f t="shared" si="41"/>
        <v>1277487.6666666665</v>
      </c>
      <c r="H117" s="486">
        <f t="shared" si="42"/>
        <v>200164.88965324761</v>
      </c>
      <c r="I117" s="540">
        <f t="shared" si="43"/>
        <v>200164.88965324761</v>
      </c>
      <c r="J117" s="476">
        <f t="shared" si="30"/>
        <v>0</v>
      </c>
      <c r="K117" s="476"/>
      <c r="L117" s="485"/>
      <c r="M117" s="476">
        <f t="shared" si="38"/>
        <v>0</v>
      </c>
      <c r="N117" s="485"/>
      <c r="O117" s="476">
        <f t="shared" si="31"/>
        <v>0</v>
      </c>
      <c r="P117" s="476">
        <f t="shared" si="32"/>
        <v>0</v>
      </c>
    </row>
    <row r="118" spans="2:16">
      <c r="B118" s="160" t="str">
        <f t="shared" si="29"/>
        <v/>
      </c>
      <c r="C118" s="470">
        <f>IF(D93="","-",+C117+1)</f>
        <v>2033</v>
      </c>
      <c r="D118" s="345">
        <f>IF(F117+SUM(E$99:E117)=D$92,F117,D$92-SUM(E$99:E117))</f>
        <v>1250089.6666666665</v>
      </c>
      <c r="E118" s="482">
        <f t="shared" si="39"/>
        <v>54796</v>
      </c>
      <c r="F118" s="483">
        <f t="shared" si="40"/>
        <v>1195293.6666666665</v>
      </c>
      <c r="G118" s="483">
        <f t="shared" si="41"/>
        <v>1222691.6666666665</v>
      </c>
      <c r="H118" s="486">
        <f t="shared" si="42"/>
        <v>193929.49976629551</v>
      </c>
      <c r="I118" s="540">
        <f t="shared" si="43"/>
        <v>193929.49976629551</v>
      </c>
      <c r="J118" s="476">
        <f t="shared" si="30"/>
        <v>0</v>
      </c>
      <c r="K118" s="476"/>
      <c r="L118" s="485"/>
      <c r="M118" s="476">
        <f t="shared" si="38"/>
        <v>0</v>
      </c>
      <c r="N118" s="485"/>
      <c r="O118" s="476">
        <f t="shared" si="31"/>
        <v>0</v>
      </c>
      <c r="P118" s="476">
        <f t="shared" si="32"/>
        <v>0</v>
      </c>
    </row>
    <row r="119" spans="2:16">
      <c r="B119" s="160" t="str">
        <f t="shared" si="29"/>
        <v/>
      </c>
      <c r="C119" s="470">
        <f>IF(D93="","-",+C118+1)</f>
        <v>2034</v>
      </c>
      <c r="D119" s="345">
        <f>IF(F118+SUM(E$99:E118)=D$92,F118,D$92-SUM(E$99:E118))</f>
        <v>1195293.6666666665</v>
      </c>
      <c r="E119" s="482">
        <f t="shared" si="39"/>
        <v>54796</v>
      </c>
      <c r="F119" s="483">
        <f t="shared" si="40"/>
        <v>1140497.6666666665</v>
      </c>
      <c r="G119" s="483">
        <f t="shared" si="41"/>
        <v>1167895.6666666665</v>
      </c>
      <c r="H119" s="486">
        <f t="shared" si="42"/>
        <v>187694.10987934342</v>
      </c>
      <c r="I119" s="540">
        <f t="shared" si="43"/>
        <v>187694.10987934342</v>
      </c>
      <c r="J119" s="476">
        <f t="shared" si="30"/>
        <v>0</v>
      </c>
      <c r="K119" s="476"/>
      <c r="L119" s="485"/>
      <c r="M119" s="476">
        <f t="shared" si="38"/>
        <v>0</v>
      </c>
      <c r="N119" s="485"/>
      <c r="O119" s="476">
        <f t="shared" si="31"/>
        <v>0</v>
      </c>
      <c r="P119" s="476">
        <f t="shared" si="32"/>
        <v>0</v>
      </c>
    </row>
    <row r="120" spans="2:16">
      <c r="B120" s="160" t="str">
        <f t="shared" si="29"/>
        <v/>
      </c>
      <c r="C120" s="470">
        <f>IF(D93="","-",+C119+1)</f>
        <v>2035</v>
      </c>
      <c r="D120" s="345">
        <f>IF(F119+SUM(E$99:E119)=D$92,F119,D$92-SUM(E$99:E119))</f>
        <v>1140497.6666666665</v>
      </c>
      <c r="E120" s="482">
        <f t="shared" si="39"/>
        <v>54796</v>
      </c>
      <c r="F120" s="483">
        <f t="shared" si="40"/>
        <v>1085701.6666666665</v>
      </c>
      <c r="G120" s="483">
        <f t="shared" si="41"/>
        <v>1113099.6666666665</v>
      </c>
      <c r="H120" s="486">
        <f t="shared" si="42"/>
        <v>181458.71999239133</v>
      </c>
      <c r="I120" s="540">
        <f t="shared" si="43"/>
        <v>181458.71999239133</v>
      </c>
      <c r="J120" s="476">
        <f t="shared" si="30"/>
        <v>0</v>
      </c>
      <c r="K120" s="476"/>
      <c r="L120" s="485"/>
      <c r="M120" s="476">
        <f t="shared" si="38"/>
        <v>0</v>
      </c>
      <c r="N120" s="485"/>
      <c r="O120" s="476">
        <f t="shared" si="31"/>
        <v>0</v>
      </c>
      <c r="P120" s="476">
        <f t="shared" si="32"/>
        <v>0</v>
      </c>
    </row>
    <row r="121" spans="2:16">
      <c r="B121" s="160" t="str">
        <f t="shared" si="29"/>
        <v/>
      </c>
      <c r="C121" s="470">
        <f>IF(D93="","-",+C120+1)</f>
        <v>2036</v>
      </c>
      <c r="D121" s="345">
        <f>IF(F120+SUM(E$99:E120)=D$92,F120,D$92-SUM(E$99:E120))</f>
        <v>1085701.6666666665</v>
      </c>
      <c r="E121" s="482">
        <f t="shared" si="39"/>
        <v>54796</v>
      </c>
      <c r="F121" s="483">
        <f t="shared" si="40"/>
        <v>1030905.6666666665</v>
      </c>
      <c r="G121" s="483">
        <f t="shared" si="41"/>
        <v>1058303.6666666665</v>
      </c>
      <c r="H121" s="486">
        <f t="shared" si="42"/>
        <v>175223.33010543924</v>
      </c>
      <c r="I121" s="540">
        <f t="shared" si="43"/>
        <v>175223.33010543924</v>
      </c>
      <c r="J121" s="476">
        <f t="shared" si="30"/>
        <v>0</v>
      </c>
      <c r="K121" s="476"/>
      <c r="L121" s="485"/>
      <c r="M121" s="476">
        <f t="shared" si="38"/>
        <v>0</v>
      </c>
      <c r="N121" s="485"/>
      <c r="O121" s="476">
        <f t="shared" si="31"/>
        <v>0</v>
      </c>
      <c r="P121" s="476">
        <f t="shared" si="32"/>
        <v>0</v>
      </c>
    </row>
    <row r="122" spans="2:16">
      <c r="B122" s="160" t="str">
        <f t="shared" si="29"/>
        <v/>
      </c>
      <c r="C122" s="470">
        <f>IF(D93="","-",+C121+1)</f>
        <v>2037</v>
      </c>
      <c r="D122" s="345">
        <f>IF(F121+SUM(E$99:E121)=D$92,F121,D$92-SUM(E$99:E121))</f>
        <v>1030905.6666666665</v>
      </c>
      <c r="E122" s="482">
        <f t="shared" si="39"/>
        <v>54796</v>
      </c>
      <c r="F122" s="483">
        <f t="shared" si="40"/>
        <v>976109.66666666651</v>
      </c>
      <c r="G122" s="483">
        <f t="shared" si="41"/>
        <v>1003507.6666666665</v>
      </c>
      <c r="H122" s="486">
        <f t="shared" si="42"/>
        <v>168987.94021848717</v>
      </c>
      <c r="I122" s="540">
        <f t="shared" si="43"/>
        <v>168987.94021848717</v>
      </c>
      <c r="J122" s="476">
        <f t="shared" si="30"/>
        <v>0</v>
      </c>
      <c r="K122" s="476"/>
      <c r="L122" s="485"/>
      <c r="M122" s="476">
        <f t="shared" si="38"/>
        <v>0</v>
      </c>
      <c r="N122" s="485"/>
      <c r="O122" s="476">
        <f t="shared" si="31"/>
        <v>0</v>
      </c>
      <c r="P122" s="476">
        <f t="shared" si="32"/>
        <v>0</v>
      </c>
    </row>
    <row r="123" spans="2:16">
      <c r="B123" s="160" t="str">
        <f t="shared" si="29"/>
        <v/>
      </c>
      <c r="C123" s="470">
        <f>IF(D93="","-",+C122+1)</f>
        <v>2038</v>
      </c>
      <c r="D123" s="345">
        <f>IF(F122+SUM(E$99:E122)=D$92,F122,D$92-SUM(E$99:E122))</f>
        <v>976109.66666666651</v>
      </c>
      <c r="E123" s="482">
        <f t="shared" si="39"/>
        <v>54796</v>
      </c>
      <c r="F123" s="483">
        <f t="shared" si="40"/>
        <v>921313.66666666651</v>
      </c>
      <c r="G123" s="483">
        <f t="shared" si="41"/>
        <v>948711.66666666651</v>
      </c>
      <c r="H123" s="486">
        <f t="shared" si="42"/>
        <v>162752.55033153505</v>
      </c>
      <c r="I123" s="540">
        <f t="shared" si="43"/>
        <v>162752.55033153505</v>
      </c>
      <c r="J123" s="476">
        <f t="shared" si="30"/>
        <v>0</v>
      </c>
      <c r="K123" s="476"/>
      <c r="L123" s="485"/>
      <c r="M123" s="476">
        <f t="shared" si="38"/>
        <v>0</v>
      </c>
      <c r="N123" s="485"/>
      <c r="O123" s="476">
        <f t="shared" si="31"/>
        <v>0</v>
      </c>
      <c r="P123" s="476">
        <f t="shared" si="32"/>
        <v>0</v>
      </c>
    </row>
    <row r="124" spans="2:16">
      <c r="B124" s="160" t="str">
        <f t="shared" si="29"/>
        <v/>
      </c>
      <c r="C124" s="470">
        <f>IF(D93="","-",+C123+1)</f>
        <v>2039</v>
      </c>
      <c r="D124" s="345">
        <f>IF(F123+SUM(E$99:E123)=D$92,F123,D$92-SUM(E$99:E123))</f>
        <v>921313.66666666651</v>
      </c>
      <c r="E124" s="482">
        <f t="shared" si="39"/>
        <v>54796</v>
      </c>
      <c r="F124" s="483">
        <f t="shared" si="40"/>
        <v>866517.66666666651</v>
      </c>
      <c r="G124" s="483">
        <f t="shared" si="41"/>
        <v>893915.66666666651</v>
      </c>
      <c r="H124" s="486">
        <f t="shared" si="42"/>
        <v>156517.16044458299</v>
      </c>
      <c r="I124" s="540">
        <f t="shared" si="43"/>
        <v>156517.16044458299</v>
      </c>
      <c r="J124" s="476">
        <f t="shared" si="30"/>
        <v>0</v>
      </c>
      <c r="K124" s="476"/>
      <c r="L124" s="485"/>
      <c r="M124" s="476">
        <f t="shared" si="38"/>
        <v>0</v>
      </c>
      <c r="N124" s="485"/>
      <c r="O124" s="476">
        <f t="shared" si="31"/>
        <v>0</v>
      </c>
      <c r="P124" s="476">
        <f t="shared" si="32"/>
        <v>0</v>
      </c>
    </row>
    <row r="125" spans="2:16">
      <c r="B125" s="160" t="str">
        <f t="shared" si="29"/>
        <v/>
      </c>
      <c r="C125" s="470">
        <f>IF(D93="","-",+C124+1)</f>
        <v>2040</v>
      </c>
      <c r="D125" s="345">
        <f>IF(F124+SUM(E$99:E124)=D$92,F124,D$92-SUM(E$99:E124))</f>
        <v>866517.66666666651</v>
      </c>
      <c r="E125" s="482">
        <f t="shared" si="39"/>
        <v>54796</v>
      </c>
      <c r="F125" s="483">
        <f t="shared" si="40"/>
        <v>811721.66666666651</v>
      </c>
      <c r="G125" s="483">
        <f t="shared" si="41"/>
        <v>839119.66666666651</v>
      </c>
      <c r="H125" s="486">
        <f t="shared" si="42"/>
        <v>150281.77055763087</v>
      </c>
      <c r="I125" s="540">
        <f t="shared" si="43"/>
        <v>150281.77055763087</v>
      </c>
      <c r="J125" s="476">
        <f t="shared" si="30"/>
        <v>0</v>
      </c>
      <c r="K125" s="476"/>
      <c r="L125" s="485"/>
      <c r="M125" s="476">
        <f t="shared" si="38"/>
        <v>0</v>
      </c>
      <c r="N125" s="485"/>
      <c r="O125" s="476">
        <f t="shared" si="31"/>
        <v>0</v>
      </c>
      <c r="P125" s="476">
        <f t="shared" si="32"/>
        <v>0</v>
      </c>
    </row>
    <row r="126" spans="2:16">
      <c r="B126" s="160" t="str">
        <f t="shared" si="29"/>
        <v/>
      </c>
      <c r="C126" s="470">
        <f>IF(D93="","-",+C125+1)</f>
        <v>2041</v>
      </c>
      <c r="D126" s="345">
        <f>IF(F125+SUM(E$99:E125)=D$92,F125,D$92-SUM(E$99:E125))</f>
        <v>811721.66666666651</v>
      </c>
      <c r="E126" s="482">
        <f t="shared" si="39"/>
        <v>54796</v>
      </c>
      <c r="F126" s="483">
        <f t="shared" si="40"/>
        <v>756925.66666666651</v>
      </c>
      <c r="G126" s="483">
        <f t="shared" si="41"/>
        <v>784323.66666666651</v>
      </c>
      <c r="H126" s="486">
        <f t="shared" si="42"/>
        <v>144046.3806706788</v>
      </c>
      <c r="I126" s="540">
        <f t="shared" si="43"/>
        <v>144046.3806706788</v>
      </c>
      <c r="J126" s="476">
        <f t="shared" si="30"/>
        <v>0</v>
      </c>
      <c r="K126" s="476"/>
      <c r="L126" s="485"/>
      <c r="M126" s="476">
        <f t="shared" si="38"/>
        <v>0</v>
      </c>
      <c r="N126" s="485"/>
      <c r="O126" s="476">
        <f t="shared" si="31"/>
        <v>0</v>
      </c>
      <c r="P126" s="476">
        <f t="shared" si="32"/>
        <v>0</v>
      </c>
    </row>
    <row r="127" spans="2:16">
      <c r="B127" s="160" t="str">
        <f t="shared" si="29"/>
        <v/>
      </c>
      <c r="C127" s="470">
        <f>IF(D93="","-",+C126+1)</f>
        <v>2042</v>
      </c>
      <c r="D127" s="345">
        <f>IF(F126+SUM(E$99:E126)=D$92,F126,D$92-SUM(E$99:E126))</f>
        <v>756925.66666666651</v>
      </c>
      <c r="E127" s="482">
        <f t="shared" si="39"/>
        <v>54796</v>
      </c>
      <c r="F127" s="483">
        <f t="shared" si="40"/>
        <v>702129.66666666651</v>
      </c>
      <c r="G127" s="483">
        <f t="shared" si="41"/>
        <v>729527.66666666651</v>
      </c>
      <c r="H127" s="486">
        <f t="shared" si="42"/>
        <v>137810.99078372668</v>
      </c>
      <c r="I127" s="540">
        <f t="shared" si="43"/>
        <v>137810.99078372668</v>
      </c>
      <c r="J127" s="476">
        <f t="shared" si="30"/>
        <v>0</v>
      </c>
      <c r="K127" s="476"/>
      <c r="L127" s="485"/>
      <c r="M127" s="476">
        <f t="shared" si="38"/>
        <v>0</v>
      </c>
      <c r="N127" s="485"/>
      <c r="O127" s="476">
        <f t="shared" si="31"/>
        <v>0</v>
      </c>
      <c r="P127" s="476">
        <f t="shared" si="32"/>
        <v>0</v>
      </c>
    </row>
    <row r="128" spans="2:16">
      <c r="B128" s="160" t="str">
        <f t="shared" si="29"/>
        <v/>
      </c>
      <c r="C128" s="470">
        <f>IF(D93="","-",+C127+1)</f>
        <v>2043</v>
      </c>
      <c r="D128" s="345">
        <f>IF(F127+SUM(E$99:E127)=D$92,F127,D$92-SUM(E$99:E127))</f>
        <v>702129.66666666651</v>
      </c>
      <c r="E128" s="482">
        <f t="shared" si="39"/>
        <v>54796</v>
      </c>
      <c r="F128" s="483">
        <f t="shared" si="40"/>
        <v>647333.66666666651</v>
      </c>
      <c r="G128" s="483">
        <f t="shared" si="41"/>
        <v>674731.66666666651</v>
      </c>
      <c r="H128" s="486">
        <f t="shared" si="42"/>
        <v>131575.60089677462</v>
      </c>
      <c r="I128" s="540">
        <f t="shared" si="43"/>
        <v>131575.60089677462</v>
      </c>
      <c r="J128" s="476">
        <f t="shared" si="30"/>
        <v>0</v>
      </c>
      <c r="K128" s="476"/>
      <c r="L128" s="485"/>
      <c r="M128" s="476">
        <f t="shared" si="38"/>
        <v>0</v>
      </c>
      <c r="N128" s="485"/>
      <c r="O128" s="476">
        <f t="shared" si="31"/>
        <v>0</v>
      </c>
      <c r="P128" s="476">
        <f t="shared" si="32"/>
        <v>0</v>
      </c>
    </row>
    <row r="129" spans="2:16">
      <c r="B129" s="160" t="str">
        <f t="shared" si="29"/>
        <v/>
      </c>
      <c r="C129" s="470">
        <f>IF(D93="","-",+C128+1)</f>
        <v>2044</v>
      </c>
      <c r="D129" s="345">
        <f>IF(F128+SUM(E$99:E128)=D$92,F128,D$92-SUM(E$99:E128))</f>
        <v>647333.66666666651</v>
      </c>
      <c r="E129" s="482">
        <f t="shared" si="39"/>
        <v>54796</v>
      </c>
      <c r="F129" s="483">
        <f t="shared" si="40"/>
        <v>592537.66666666651</v>
      </c>
      <c r="G129" s="483">
        <f t="shared" si="41"/>
        <v>619935.66666666651</v>
      </c>
      <c r="H129" s="486">
        <f t="shared" si="42"/>
        <v>125340.21100982252</v>
      </c>
      <c r="I129" s="540">
        <f t="shared" si="43"/>
        <v>125340.21100982252</v>
      </c>
      <c r="J129" s="476">
        <f t="shared" si="30"/>
        <v>0</v>
      </c>
      <c r="K129" s="476"/>
      <c r="L129" s="485"/>
      <c r="M129" s="476">
        <f t="shared" si="38"/>
        <v>0</v>
      </c>
      <c r="N129" s="485"/>
      <c r="O129" s="476">
        <f t="shared" si="31"/>
        <v>0</v>
      </c>
      <c r="P129" s="476">
        <f t="shared" si="32"/>
        <v>0</v>
      </c>
    </row>
    <row r="130" spans="2:16">
      <c r="B130" s="160" t="str">
        <f t="shared" si="29"/>
        <v/>
      </c>
      <c r="C130" s="470">
        <f>IF(D93="","-",+C129+1)</f>
        <v>2045</v>
      </c>
      <c r="D130" s="345">
        <f>IF(F129+SUM(E$99:E129)=D$92,F129,D$92-SUM(E$99:E129))</f>
        <v>592537.66666666651</v>
      </c>
      <c r="E130" s="482">
        <f t="shared" si="39"/>
        <v>54796</v>
      </c>
      <c r="F130" s="483">
        <f t="shared" si="40"/>
        <v>537741.66666666651</v>
      </c>
      <c r="G130" s="483">
        <f t="shared" si="41"/>
        <v>565139.66666666651</v>
      </c>
      <c r="H130" s="486">
        <f t="shared" si="42"/>
        <v>119104.82112287043</v>
      </c>
      <c r="I130" s="540">
        <f t="shared" si="43"/>
        <v>119104.82112287043</v>
      </c>
      <c r="J130" s="476">
        <f t="shared" si="30"/>
        <v>0</v>
      </c>
      <c r="K130" s="476"/>
      <c r="L130" s="485"/>
      <c r="M130" s="476">
        <f t="shared" si="38"/>
        <v>0</v>
      </c>
      <c r="N130" s="485"/>
      <c r="O130" s="476">
        <f t="shared" si="31"/>
        <v>0</v>
      </c>
      <c r="P130" s="476">
        <f t="shared" si="32"/>
        <v>0</v>
      </c>
    </row>
    <row r="131" spans="2:16">
      <c r="B131" s="160" t="str">
        <f t="shared" si="29"/>
        <v/>
      </c>
      <c r="C131" s="470">
        <f>IF(D93="","-",+C130+1)</f>
        <v>2046</v>
      </c>
      <c r="D131" s="345">
        <f>IF(F130+SUM(E$99:E130)=D$92,F130,D$92-SUM(E$99:E130))</f>
        <v>537741.66666666651</v>
      </c>
      <c r="E131" s="482">
        <f t="shared" si="39"/>
        <v>54796</v>
      </c>
      <c r="F131" s="483">
        <f t="shared" si="40"/>
        <v>482945.66666666651</v>
      </c>
      <c r="G131" s="483">
        <f t="shared" si="41"/>
        <v>510343.66666666651</v>
      </c>
      <c r="H131" s="486">
        <f t="shared" si="42"/>
        <v>112869.43123591834</v>
      </c>
      <c r="I131" s="540">
        <f t="shared" si="43"/>
        <v>112869.43123591834</v>
      </c>
      <c r="J131" s="476">
        <f t="shared" si="30"/>
        <v>0</v>
      </c>
      <c r="K131" s="476"/>
      <c r="L131" s="485"/>
      <c r="M131" s="476">
        <f t="shared" ref="M131:M154" si="44">IF(L541&lt;&gt;0,+H541-L541,0)</f>
        <v>0</v>
      </c>
      <c r="N131" s="485"/>
      <c r="O131" s="476">
        <f t="shared" ref="O131:O154" si="45">IF(N541&lt;&gt;0,+I541-N541,0)</f>
        <v>0</v>
      </c>
      <c r="P131" s="476">
        <f t="shared" ref="P131:P154" si="46">+O541-M541</f>
        <v>0</v>
      </c>
    </row>
    <row r="132" spans="2:16">
      <c r="B132" s="160" t="str">
        <f t="shared" si="29"/>
        <v/>
      </c>
      <c r="C132" s="470">
        <f>IF(D93="","-",+C131+1)</f>
        <v>2047</v>
      </c>
      <c r="D132" s="345">
        <f>IF(F131+SUM(E$99:E131)=D$92,F131,D$92-SUM(E$99:E131))</f>
        <v>482945.66666666651</v>
      </c>
      <c r="E132" s="482">
        <f t="shared" si="39"/>
        <v>54796</v>
      </c>
      <c r="F132" s="483">
        <f t="shared" si="40"/>
        <v>428149.66666666651</v>
      </c>
      <c r="G132" s="483">
        <f t="shared" si="41"/>
        <v>455547.66666666651</v>
      </c>
      <c r="H132" s="486">
        <f t="shared" si="42"/>
        <v>106634.04134896625</v>
      </c>
      <c r="I132" s="540">
        <f t="shared" si="43"/>
        <v>106634.04134896625</v>
      </c>
      <c r="J132" s="476">
        <f t="shared" si="30"/>
        <v>0</v>
      </c>
      <c r="K132" s="476"/>
      <c r="L132" s="485"/>
      <c r="M132" s="476">
        <f t="shared" si="44"/>
        <v>0</v>
      </c>
      <c r="N132" s="485"/>
      <c r="O132" s="476">
        <f t="shared" si="45"/>
        <v>0</v>
      </c>
      <c r="P132" s="476">
        <f t="shared" si="46"/>
        <v>0</v>
      </c>
    </row>
    <row r="133" spans="2:16">
      <c r="B133" s="160" t="str">
        <f t="shared" si="29"/>
        <v/>
      </c>
      <c r="C133" s="470">
        <f>IF(D93="","-",+C132+1)</f>
        <v>2048</v>
      </c>
      <c r="D133" s="345">
        <f>IF(F132+SUM(E$99:E132)=D$92,F132,D$92-SUM(E$99:E132))</f>
        <v>428149.66666666651</v>
      </c>
      <c r="E133" s="482">
        <f t="shared" si="39"/>
        <v>54796</v>
      </c>
      <c r="F133" s="483">
        <f t="shared" si="40"/>
        <v>373353.66666666651</v>
      </c>
      <c r="G133" s="483">
        <f t="shared" si="41"/>
        <v>400751.66666666651</v>
      </c>
      <c r="H133" s="486">
        <f t="shared" si="42"/>
        <v>100398.65146201415</v>
      </c>
      <c r="I133" s="540">
        <f t="shared" si="43"/>
        <v>100398.65146201415</v>
      </c>
      <c r="J133" s="476">
        <f t="shared" si="30"/>
        <v>0</v>
      </c>
      <c r="K133" s="476"/>
      <c r="L133" s="485"/>
      <c r="M133" s="476">
        <f t="shared" si="44"/>
        <v>0</v>
      </c>
      <c r="N133" s="485"/>
      <c r="O133" s="476">
        <f t="shared" si="45"/>
        <v>0</v>
      </c>
      <c r="P133" s="476">
        <f t="shared" si="46"/>
        <v>0</v>
      </c>
    </row>
    <row r="134" spans="2:16">
      <c r="B134" s="160" t="str">
        <f t="shared" si="29"/>
        <v/>
      </c>
      <c r="C134" s="470">
        <f>IF(D93="","-",+C133+1)</f>
        <v>2049</v>
      </c>
      <c r="D134" s="345">
        <f>IF(F133+SUM(E$99:E133)=D$92,F133,D$92-SUM(E$99:E133))</f>
        <v>373353.66666666651</v>
      </c>
      <c r="E134" s="482">
        <f t="shared" si="39"/>
        <v>54796</v>
      </c>
      <c r="F134" s="483">
        <f t="shared" si="40"/>
        <v>318557.66666666651</v>
      </c>
      <c r="G134" s="483">
        <f t="shared" si="41"/>
        <v>345955.66666666651</v>
      </c>
      <c r="H134" s="486">
        <f t="shared" si="42"/>
        <v>94163.261575062061</v>
      </c>
      <c r="I134" s="540">
        <f t="shared" si="43"/>
        <v>94163.261575062061</v>
      </c>
      <c r="J134" s="476">
        <f t="shared" si="30"/>
        <v>0</v>
      </c>
      <c r="K134" s="476"/>
      <c r="L134" s="485"/>
      <c r="M134" s="476">
        <f t="shared" si="44"/>
        <v>0</v>
      </c>
      <c r="N134" s="485"/>
      <c r="O134" s="476">
        <f t="shared" si="45"/>
        <v>0</v>
      </c>
      <c r="P134" s="476">
        <f t="shared" si="46"/>
        <v>0</v>
      </c>
    </row>
    <row r="135" spans="2:16">
      <c r="B135" s="160" t="str">
        <f t="shared" si="29"/>
        <v/>
      </c>
      <c r="C135" s="470">
        <f>IF(D93="","-",+C134+1)</f>
        <v>2050</v>
      </c>
      <c r="D135" s="345">
        <f>IF(F134+SUM(E$99:E134)=D$92,F134,D$92-SUM(E$99:E134))</f>
        <v>318557.66666666651</v>
      </c>
      <c r="E135" s="482">
        <f t="shared" si="39"/>
        <v>54796</v>
      </c>
      <c r="F135" s="483">
        <f t="shared" si="40"/>
        <v>263761.66666666651</v>
      </c>
      <c r="G135" s="483">
        <f t="shared" si="41"/>
        <v>291159.66666666651</v>
      </c>
      <c r="H135" s="486">
        <f t="shared" si="42"/>
        <v>87927.871688109968</v>
      </c>
      <c r="I135" s="540">
        <f t="shared" si="43"/>
        <v>87927.871688109968</v>
      </c>
      <c r="J135" s="476">
        <f t="shared" si="30"/>
        <v>0</v>
      </c>
      <c r="K135" s="476"/>
      <c r="L135" s="485"/>
      <c r="M135" s="476">
        <f t="shared" si="44"/>
        <v>0</v>
      </c>
      <c r="N135" s="485"/>
      <c r="O135" s="476">
        <f t="shared" si="45"/>
        <v>0</v>
      </c>
      <c r="P135" s="476">
        <f t="shared" si="46"/>
        <v>0</v>
      </c>
    </row>
    <row r="136" spans="2:16">
      <c r="B136" s="160" t="str">
        <f t="shared" si="29"/>
        <v/>
      </c>
      <c r="C136" s="470">
        <f>IF(D93="","-",+C135+1)</f>
        <v>2051</v>
      </c>
      <c r="D136" s="345">
        <f>IF(F135+SUM(E$99:E135)=D$92,F135,D$92-SUM(E$99:E135))</f>
        <v>263761.66666666651</v>
      </c>
      <c r="E136" s="482">
        <f t="shared" si="39"/>
        <v>54796</v>
      </c>
      <c r="F136" s="483">
        <f t="shared" si="40"/>
        <v>208965.66666666651</v>
      </c>
      <c r="G136" s="483">
        <f t="shared" si="41"/>
        <v>236363.66666666651</v>
      </c>
      <c r="H136" s="486">
        <f t="shared" si="42"/>
        <v>81692.481801157875</v>
      </c>
      <c r="I136" s="540">
        <f t="shared" si="43"/>
        <v>81692.481801157875</v>
      </c>
      <c r="J136" s="476">
        <f t="shared" si="30"/>
        <v>0</v>
      </c>
      <c r="K136" s="476"/>
      <c r="L136" s="485"/>
      <c r="M136" s="476">
        <f t="shared" si="44"/>
        <v>0</v>
      </c>
      <c r="N136" s="485"/>
      <c r="O136" s="476">
        <f t="shared" si="45"/>
        <v>0</v>
      </c>
      <c r="P136" s="476">
        <f t="shared" si="46"/>
        <v>0</v>
      </c>
    </row>
    <row r="137" spans="2:16">
      <c r="B137" s="160" t="str">
        <f t="shared" si="29"/>
        <v/>
      </c>
      <c r="C137" s="470">
        <f>IF(D93="","-",+C136+1)</f>
        <v>2052</v>
      </c>
      <c r="D137" s="345">
        <f>IF(F136+SUM(E$99:E136)=D$92,F136,D$92-SUM(E$99:E136))</f>
        <v>208965.66666666651</v>
      </c>
      <c r="E137" s="482">
        <f t="shared" si="39"/>
        <v>54796</v>
      </c>
      <c r="F137" s="483">
        <f t="shared" si="40"/>
        <v>154169.66666666651</v>
      </c>
      <c r="G137" s="483">
        <f t="shared" si="41"/>
        <v>181567.66666666651</v>
      </c>
      <c r="H137" s="486">
        <f t="shared" si="42"/>
        <v>75457.091914205797</v>
      </c>
      <c r="I137" s="540">
        <f t="shared" si="43"/>
        <v>75457.091914205797</v>
      </c>
      <c r="J137" s="476">
        <f t="shared" si="30"/>
        <v>0</v>
      </c>
      <c r="K137" s="476"/>
      <c r="L137" s="485"/>
      <c r="M137" s="476">
        <f t="shared" si="44"/>
        <v>0</v>
      </c>
      <c r="N137" s="485"/>
      <c r="O137" s="476">
        <f t="shared" si="45"/>
        <v>0</v>
      </c>
      <c r="P137" s="476">
        <f t="shared" si="46"/>
        <v>0</v>
      </c>
    </row>
    <row r="138" spans="2:16">
      <c r="B138" s="160" t="str">
        <f t="shared" si="29"/>
        <v/>
      </c>
      <c r="C138" s="470">
        <f>IF(D93="","-",+C137+1)</f>
        <v>2053</v>
      </c>
      <c r="D138" s="345">
        <f>IF(F137+SUM(E$99:E137)=D$92,F137,D$92-SUM(E$99:E137))</f>
        <v>154169.66666666651</v>
      </c>
      <c r="E138" s="482">
        <f t="shared" si="39"/>
        <v>54796</v>
      </c>
      <c r="F138" s="483">
        <f t="shared" si="40"/>
        <v>99373.666666666511</v>
      </c>
      <c r="G138" s="483">
        <f t="shared" si="41"/>
        <v>126771.66666666651</v>
      </c>
      <c r="H138" s="486">
        <f t="shared" si="42"/>
        <v>69221.702027253705</v>
      </c>
      <c r="I138" s="540">
        <f t="shared" si="43"/>
        <v>69221.702027253705</v>
      </c>
      <c r="J138" s="476">
        <f t="shared" si="30"/>
        <v>0</v>
      </c>
      <c r="K138" s="476"/>
      <c r="L138" s="485"/>
      <c r="M138" s="476">
        <f t="shared" si="44"/>
        <v>0</v>
      </c>
      <c r="N138" s="485"/>
      <c r="O138" s="476">
        <f t="shared" si="45"/>
        <v>0</v>
      </c>
      <c r="P138" s="476">
        <f t="shared" si="46"/>
        <v>0</v>
      </c>
    </row>
    <row r="139" spans="2:16">
      <c r="B139" s="160" t="str">
        <f t="shared" si="29"/>
        <v/>
      </c>
      <c r="C139" s="470">
        <f>IF(D93="","-",+C138+1)</f>
        <v>2054</v>
      </c>
      <c r="D139" s="345">
        <f>IF(F138+SUM(E$99:E138)=D$92,F138,D$92-SUM(E$99:E138))</f>
        <v>99373.666666666511</v>
      </c>
      <c r="E139" s="482">
        <f t="shared" si="39"/>
        <v>54796</v>
      </c>
      <c r="F139" s="483">
        <f t="shared" si="40"/>
        <v>44577.666666666511</v>
      </c>
      <c r="G139" s="483">
        <f t="shared" si="41"/>
        <v>71975.666666666511</v>
      </c>
      <c r="H139" s="486">
        <f t="shared" si="42"/>
        <v>62986.312140301612</v>
      </c>
      <c r="I139" s="540">
        <f t="shared" si="43"/>
        <v>62986.312140301612</v>
      </c>
      <c r="J139" s="476">
        <f t="shared" si="30"/>
        <v>0</v>
      </c>
      <c r="K139" s="476"/>
      <c r="L139" s="485"/>
      <c r="M139" s="476">
        <f t="shared" si="44"/>
        <v>0</v>
      </c>
      <c r="N139" s="485"/>
      <c r="O139" s="476">
        <f t="shared" si="45"/>
        <v>0</v>
      </c>
      <c r="P139" s="476">
        <f t="shared" si="46"/>
        <v>0</v>
      </c>
    </row>
    <row r="140" spans="2:16">
      <c r="B140" s="160" t="str">
        <f t="shared" si="29"/>
        <v/>
      </c>
      <c r="C140" s="470">
        <f>IF(D93="","-",+C139+1)</f>
        <v>2055</v>
      </c>
      <c r="D140" s="345">
        <f>IF(F139+SUM(E$99:E139)=D$92,F139,D$92-SUM(E$99:E139))</f>
        <v>44577.666666666511</v>
      </c>
      <c r="E140" s="482">
        <f t="shared" si="39"/>
        <v>44577.666666666511</v>
      </c>
      <c r="F140" s="483">
        <f t="shared" si="40"/>
        <v>0</v>
      </c>
      <c r="G140" s="483">
        <f t="shared" si="41"/>
        <v>22288.833333333256</v>
      </c>
      <c r="H140" s="486">
        <f t="shared" si="42"/>
        <v>47113.975265079294</v>
      </c>
      <c r="I140" s="540">
        <f t="shared" si="43"/>
        <v>47113.975265079294</v>
      </c>
      <c r="J140" s="476">
        <f t="shared" si="30"/>
        <v>0</v>
      </c>
      <c r="K140" s="476"/>
      <c r="L140" s="485"/>
      <c r="M140" s="476">
        <f t="shared" si="44"/>
        <v>0</v>
      </c>
      <c r="N140" s="485"/>
      <c r="O140" s="476">
        <f t="shared" si="45"/>
        <v>0</v>
      </c>
      <c r="P140" s="476">
        <f t="shared" si="46"/>
        <v>0</v>
      </c>
    </row>
    <row r="141" spans="2:16">
      <c r="B141" s="160" t="str">
        <f t="shared" si="29"/>
        <v/>
      </c>
      <c r="C141" s="470">
        <f>IF(D93="","-",+C140+1)</f>
        <v>2056</v>
      </c>
      <c r="D141" s="345">
        <f>IF(F140+SUM(E$99:E140)=D$92,F140,D$92-SUM(E$99:E140))</f>
        <v>0</v>
      </c>
      <c r="E141" s="482">
        <f t="shared" si="39"/>
        <v>0</v>
      </c>
      <c r="F141" s="483">
        <f t="shared" si="40"/>
        <v>0</v>
      </c>
      <c r="G141" s="483">
        <f t="shared" si="41"/>
        <v>0</v>
      </c>
      <c r="H141" s="486">
        <f t="shared" si="42"/>
        <v>0</v>
      </c>
      <c r="I141" s="540">
        <f t="shared" si="43"/>
        <v>0</v>
      </c>
      <c r="J141" s="476">
        <f t="shared" si="30"/>
        <v>0</v>
      </c>
      <c r="K141" s="476"/>
      <c r="L141" s="485"/>
      <c r="M141" s="476">
        <f t="shared" si="44"/>
        <v>0</v>
      </c>
      <c r="N141" s="485"/>
      <c r="O141" s="476">
        <f t="shared" si="45"/>
        <v>0</v>
      </c>
      <c r="P141" s="476">
        <f t="shared" si="46"/>
        <v>0</v>
      </c>
    </row>
    <row r="142" spans="2:16">
      <c r="B142" s="160" t="str">
        <f t="shared" si="29"/>
        <v/>
      </c>
      <c r="C142" s="470">
        <f>IF(D93="","-",+C141+1)</f>
        <v>2057</v>
      </c>
      <c r="D142" s="345">
        <f>IF(F141+SUM(E$99:E141)=D$92,F141,D$92-SUM(E$99:E141))</f>
        <v>0</v>
      </c>
      <c r="E142" s="482">
        <f t="shared" si="39"/>
        <v>0</v>
      </c>
      <c r="F142" s="483">
        <f t="shared" si="40"/>
        <v>0</v>
      </c>
      <c r="G142" s="483">
        <f t="shared" si="41"/>
        <v>0</v>
      </c>
      <c r="H142" s="486">
        <f t="shared" si="42"/>
        <v>0</v>
      </c>
      <c r="I142" s="540">
        <f t="shared" si="43"/>
        <v>0</v>
      </c>
      <c r="J142" s="476">
        <f t="shared" si="30"/>
        <v>0</v>
      </c>
      <c r="K142" s="476"/>
      <c r="L142" s="485"/>
      <c r="M142" s="476">
        <f t="shared" si="44"/>
        <v>0</v>
      </c>
      <c r="N142" s="485"/>
      <c r="O142" s="476">
        <f t="shared" si="45"/>
        <v>0</v>
      </c>
      <c r="P142" s="476">
        <f t="shared" si="46"/>
        <v>0</v>
      </c>
    </row>
    <row r="143" spans="2:16">
      <c r="B143" s="160" t="str">
        <f t="shared" si="29"/>
        <v/>
      </c>
      <c r="C143" s="470">
        <f>IF(D93="","-",+C142+1)</f>
        <v>2058</v>
      </c>
      <c r="D143" s="345">
        <f>IF(F142+SUM(E$99:E142)=D$92,F142,D$92-SUM(E$99:E142))</f>
        <v>0</v>
      </c>
      <c r="E143" s="482">
        <f t="shared" si="39"/>
        <v>0</v>
      </c>
      <c r="F143" s="483">
        <f t="shared" si="40"/>
        <v>0</v>
      </c>
      <c r="G143" s="483">
        <f t="shared" si="41"/>
        <v>0</v>
      </c>
      <c r="H143" s="486">
        <f t="shared" si="42"/>
        <v>0</v>
      </c>
      <c r="I143" s="540">
        <f t="shared" si="43"/>
        <v>0</v>
      </c>
      <c r="J143" s="476">
        <f t="shared" si="30"/>
        <v>0</v>
      </c>
      <c r="K143" s="476"/>
      <c r="L143" s="485"/>
      <c r="M143" s="476">
        <f t="shared" si="44"/>
        <v>0</v>
      </c>
      <c r="N143" s="485"/>
      <c r="O143" s="476">
        <f t="shared" si="45"/>
        <v>0</v>
      </c>
      <c r="P143" s="476">
        <f t="shared" si="46"/>
        <v>0</v>
      </c>
    </row>
    <row r="144" spans="2:16">
      <c r="B144" s="160" t="str">
        <f t="shared" si="29"/>
        <v/>
      </c>
      <c r="C144" s="470">
        <f>IF(D93="","-",+C143+1)</f>
        <v>2059</v>
      </c>
      <c r="D144" s="345">
        <f>IF(F143+SUM(E$99:E143)=D$92,F143,D$92-SUM(E$99:E143))</f>
        <v>0</v>
      </c>
      <c r="E144" s="482">
        <f t="shared" si="39"/>
        <v>0</v>
      </c>
      <c r="F144" s="483">
        <f t="shared" si="40"/>
        <v>0</v>
      </c>
      <c r="G144" s="483">
        <f t="shared" si="41"/>
        <v>0</v>
      </c>
      <c r="H144" s="486">
        <f t="shared" si="42"/>
        <v>0</v>
      </c>
      <c r="I144" s="540">
        <f t="shared" si="43"/>
        <v>0</v>
      </c>
      <c r="J144" s="476">
        <f t="shared" si="30"/>
        <v>0</v>
      </c>
      <c r="K144" s="476"/>
      <c r="L144" s="485"/>
      <c r="M144" s="476">
        <f t="shared" si="44"/>
        <v>0</v>
      </c>
      <c r="N144" s="485"/>
      <c r="O144" s="476">
        <f t="shared" si="45"/>
        <v>0</v>
      </c>
      <c r="P144" s="476">
        <f t="shared" si="46"/>
        <v>0</v>
      </c>
    </row>
    <row r="145" spans="2:16">
      <c r="B145" s="160" t="str">
        <f t="shared" si="29"/>
        <v/>
      </c>
      <c r="C145" s="470">
        <f>IF(D93="","-",+C144+1)</f>
        <v>2060</v>
      </c>
      <c r="D145" s="345">
        <f>IF(F144+SUM(E$99:E144)=D$92,F144,D$92-SUM(E$99:E144))</f>
        <v>0</v>
      </c>
      <c r="E145" s="482">
        <f t="shared" si="39"/>
        <v>0</v>
      </c>
      <c r="F145" s="483">
        <f t="shared" si="40"/>
        <v>0</v>
      </c>
      <c r="G145" s="483">
        <f t="shared" si="41"/>
        <v>0</v>
      </c>
      <c r="H145" s="486">
        <f t="shared" si="42"/>
        <v>0</v>
      </c>
      <c r="I145" s="540">
        <f t="shared" si="43"/>
        <v>0</v>
      </c>
      <c r="J145" s="476">
        <f t="shared" si="30"/>
        <v>0</v>
      </c>
      <c r="K145" s="476"/>
      <c r="L145" s="485"/>
      <c r="M145" s="476">
        <f t="shared" si="44"/>
        <v>0</v>
      </c>
      <c r="N145" s="485"/>
      <c r="O145" s="476">
        <f t="shared" si="45"/>
        <v>0</v>
      </c>
      <c r="P145" s="476">
        <f t="shared" si="46"/>
        <v>0</v>
      </c>
    </row>
    <row r="146" spans="2:16">
      <c r="B146" s="160" t="str">
        <f t="shared" si="29"/>
        <v/>
      </c>
      <c r="C146" s="470">
        <f>IF(D93="","-",+C145+1)</f>
        <v>2061</v>
      </c>
      <c r="D146" s="345">
        <f>IF(F145+SUM(E$99:E145)=D$92,F145,D$92-SUM(E$99:E145))</f>
        <v>0</v>
      </c>
      <c r="E146" s="482">
        <f t="shared" si="39"/>
        <v>0</v>
      </c>
      <c r="F146" s="483">
        <f t="shared" si="40"/>
        <v>0</v>
      </c>
      <c r="G146" s="483">
        <f t="shared" si="41"/>
        <v>0</v>
      </c>
      <c r="H146" s="486">
        <f t="shared" si="42"/>
        <v>0</v>
      </c>
      <c r="I146" s="540">
        <f t="shared" si="43"/>
        <v>0</v>
      </c>
      <c r="J146" s="476">
        <f t="shared" si="30"/>
        <v>0</v>
      </c>
      <c r="K146" s="476"/>
      <c r="L146" s="485"/>
      <c r="M146" s="476">
        <f t="shared" si="44"/>
        <v>0</v>
      </c>
      <c r="N146" s="485"/>
      <c r="O146" s="476">
        <f t="shared" si="45"/>
        <v>0</v>
      </c>
      <c r="P146" s="476">
        <f t="shared" si="46"/>
        <v>0</v>
      </c>
    </row>
    <row r="147" spans="2:16">
      <c r="B147" s="160" t="str">
        <f t="shared" si="29"/>
        <v/>
      </c>
      <c r="C147" s="470">
        <f>IF(D93="","-",+C146+1)</f>
        <v>2062</v>
      </c>
      <c r="D147" s="345">
        <f>IF(F146+SUM(E$99:E146)=D$92,F146,D$92-SUM(E$99:E146))</f>
        <v>0</v>
      </c>
      <c r="E147" s="482">
        <f t="shared" si="39"/>
        <v>0</v>
      </c>
      <c r="F147" s="483">
        <f t="shared" si="40"/>
        <v>0</v>
      </c>
      <c r="G147" s="483">
        <f t="shared" si="41"/>
        <v>0</v>
      </c>
      <c r="H147" s="486">
        <f t="shared" si="42"/>
        <v>0</v>
      </c>
      <c r="I147" s="540">
        <f t="shared" si="43"/>
        <v>0</v>
      </c>
      <c r="J147" s="476">
        <f t="shared" si="30"/>
        <v>0</v>
      </c>
      <c r="K147" s="476"/>
      <c r="L147" s="485"/>
      <c r="M147" s="476">
        <f t="shared" si="44"/>
        <v>0</v>
      </c>
      <c r="N147" s="485"/>
      <c r="O147" s="476">
        <f t="shared" si="45"/>
        <v>0</v>
      </c>
      <c r="P147" s="476">
        <f t="shared" si="46"/>
        <v>0</v>
      </c>
    </row>
    <row r="148" spans="2:16">
      <c r="B148" s="160" t="str">
        <f t="shared" si="29"/>
        <v/>
      </c>
      <c r="C148" s="470">
        <f>IF(D93="","-",+C147+1)</f>
        <v>2063</v>
      </c>
      <c r="D148" s="345">
        <f>IF(F147+SUM(E$99:E147)=D$92,F147,D$92-SUM(E$99:E147))</f>
        <v>0</v>
      </c>
      <c r="E148" s="482">
        <f t="shared" si="39"/>
        <v>0</v>
      </c>
      <c r="F148" s="483">
        <f t="shared" si="40"/>
        <v>0</v>
      </c>
      <c r="G148" s="483">
        <f t="shared" si="41"/>
        <v>0</v>
      </c>
      <c r="H148" s="486">
        <f t="shared" si="42"/>
        <v>0</v>
      </c>
      <c r="I148" s="540">
        <f t="shared" si="43"/>
        <v>0</v>
      </c>
      <c r="J148" s="476">
        <f t="shared" si="30"/>
        <v>0</v>
      </c>
      <c r="K148" s="476"/>
      <c r="L148" s="485"/>
      <c r="M148" s="476">
        <f t="shared" si="44"/>
        <v>0</v>
      </c>
      <c r="N148" s="485"/>
      <c r="O148" s="476">
        <f t="shared" si="45"/>
        <v>0</v>
      </c>
      <c r="P148" s="476">
        <f t="shared" si="46"/>
        <v>0</v>
      </c>
    </row>
    <row r="149" spans="2:16">
      <c r="B149" s="160" t="str">
        <f t="shared" si="29"/>
        <v/>
      </c>
      <c r="C149" s="470">
        <f>IF(D93="","-",+C148+1)</f>
        <v>2064</v>
      </c>
      <c r="D149" s="345">
        <f>IF(F148+SUM(E$99:E148)=D$92,F148,D$92-SUM(E$99:E148))</f>
        <v>0</v>
      </c>
      <c r="E149" s="482">
        <f t="shared" si="39"/>
        <v>0</v>
      </c>
      <c r="F149" s="483">
        <f t="shared" si="40"/>
        <v>0</v>
      </c>
      <c r="G149" s="483">
        <f t="shared" si="41"/>
        <v>0</v>
      </c>
      <c r="H149" s="486">
        <f t="shared" si="42"/>
        <v>0</v>
      </c>
      <c r="I149" s="540">
        <f t="shared" si="43"/>
        <v>0</v>
      </c>
      <c r="J149" s="476">
        <f t="shared" si="30"/>
        <v>0</v>
      </c>
      <c r="K149" s="476"/>
      <c r="L149" s="485"/>
      <c r="M149" s="476">
        <f t="shared" si="44"/>
        <v>0</v>
      </c>
      <c r="N149" s="485"/>
      <c r="O149" s="476">
        <f t="shared" si="45"/>
        <v>0</v>
      </c>
      <c r="P149" s="476">
        <f t="shared" si="46"/>
        <v>0</v>
      </c>
    </row>
    <row r="150" spans="2:16">
      <c r="B150" s="160" t="str">
        <f t="shared" si="29"/>
        <v/>
      </c>
      <c r="C150" s="470">
        <f>IF(D93="","-",+C149+1)</f>
        <v>2065</v>
      </c>
      <c r="D150" s="345">
        <f>IF(F149+SUM(E$99:E149)=D$92,F149,D$92-SUM(E$99:E149))</f>
        <v>0</v>
      </c>
      <c r="E150" s="482">
        <f t="shared" si="39"/>
        <v>0</v>
      </c>
      <c r="F150" s="483">
        <f t="shared" si="40"/>
        <v>0</v>
      </c>
      <c r="G150" s="483">
        <f t="shared" si="41"/>
        <v>0</v>
      </c>
      <c r="H150" s="486">
        <f t="shared" si="42"/>
        <v>0</v>
      </c>
      <c r="I150" s="540">
        <f t="shared" si="43"/>
        <v>0</v>
      </c>
      <c r="J150" s="476">
        <f t="shared" si="30"/>
        <v>0</v>
      </c>
      <c r="K150" s="476"/>
      <c r="L150" s="485"/>
      <c r="M150" s="476">
        <f t="shared" si="44"/>
        <v>0</v>
      </c>
      <c r="N150" s="485"/>
      <c r="O150" s="476">
        <f t="shared" si="45"/>
        <v>0</v>
      </c>
      <c r="P150" s="476">
        <f t="shared" si="46"/>
        <v>0</v>
      </c>
    </row>
    <row r="151" spans="2:16">
      <c r="B151" s="160" t="str">
        <f t="shared" si="29"/>
        <v/>
      </c>
      <c r="C151" s="470">
        <f>IF(D93="","-",+C150+1)</f>
        <v>2066</v>
      </c>
      <c r="D151" s="345">
        <f>IF(F150+SUM(E$99:E150)=D$92,F150,D$92-SUM(E$99:E150))</f>
        <v>0</v>
      </c>
      <c r="E151" s="482">
        <f t="shared" si="39"/>
        <v>0</v>
      </c>
      <c r="F151" s="483">
        <f t="shared" si="40"/>
        <v>0</v>
      </c>
      <c r="G151" s="483">
        <f t="shared" si="41"/>
        <v>0</v>
      </c>
      <c r="H151" s="486">
        <f t="shared" si="42"/>
        <v>0</v>
      </c>
      <c r="I151" s="540">
        <f t="shared" si="43"/>
        <v>0</v>
      </c>
      <c r="J151" s="476">
        <f t="shared" si="30"/>
        <v>0</v>
      </c>
      <c r="K151" s="476"/>
      <c r="L151" s="485"/>
      <c r="M151" s="476">
        <f t="shared" si="44"/>
        <v>0</v>
      </c>
      <c r="N151" s="485"/>
      <c r="O151" s="476">
        <f t="shared" si="45"/>
        <v>0</v>
      </c>
      <c r="P151" s="476">
        <f t="shared" si="46"/>
        <v>0</v>
      </c>
    </row>
    <row r="152" spans="2:16">
      <c r="B152" s="160" t="str">
        <f t="shared" si="29"/>
        <v/>
      </c>
      <c r="C152" s="470">
        <f>IF(D93="","-",+C151+1)</f>
        <v>2067</v>
      </c>
      <c r="D152" s="345">
        <f>IF(F151+SUM(E$99:E151)=D$92,F151,D$92-SUM(E$99:E151))</f>
        <v>0</v>
      </c>
      <c r="E152" s="482">
        <f t="shared" si="39"/>
        <v>0</v>
      </c>
      <c r="F152" s="483">
        <f t="shared" si="40"/>
        <v>0</v>
      </c>
      <c r="G152" s="483">
        <f t="shared" si="41"/>
        <v>0</v>
      </c>
      <c r="H152" s="486">
        <f t="shared" si="42"/>
        <v>0</v>
      </c>
      <c r="I152" s="540">
        <f t="shared" si="43"/>
        <v>0</v>
      </c>
      <c r="J152" s="476">
        <f t="shared" si="30"/>
        <v>0</v>
      </c>
      <c r="K152" s="476"/>
      <c r="L152" s="485"/>
      <c r="M152" s="476">
        <f t="shared" si="44"/>
        <v>0</v>
      </c>
      <c r="N152" s="485"/>
      <c r="O152" s="476">
        <f t="shared" si="45"/>
        <v>0</v>
      </c>
      <c r="P152" s="476">
        <f t="shared" si="46"/>
        <v>0</v>
      </c>
    </row>
    <row r="153" spans="2:16">
      <c r="B153" s="160" t="str">
        <f t="shared" si="29"/>
        <v/>
      </c>
      <c r="C153" s="470">
        <f>IF(D93="","-",+C152+1)</f>
        <v>2068</v>
      </c>
      <c r="D153" s="345">
        <f>IF(F152+SUM(E$99:E152)=D$92,F152,D$92-SUM(E$99:E152))</f>
        <v>0</v>
      </c>
      <c r="E153" s="482">
        <f t="shared" si="39"/>
        <v>0</v>
      </c>
      <c r="F153" s="483">
        <f t="shared" si="40"/>
        <v>0</v>
      </c>
      <c r="G153" s="483">
        <f t="shared" si="41"/>
        <v>0</v>
      </c>
      <c r="H153" s="486">
        <f t="shared" si="42"/>
        <v>0</v>
      </c>
      <c r="I153" s="540">
        <f t="shared" si="43"/>
        <v>0</v>
      </c>
      <c r="J153" s="476">
        <f t="shared" si="30"/>
        <v>0</v>
      </c>
      <c r="K153" s="476"/>
      <c r="L153" s="485"/>
      <c r="M153" s="476">
        <f t="shared" si="44"/>
        <v>0</v>
      </c>
      <c r="N153" s="485"/>
      <c r="O153" s="476">
        <f t="shared" si="45"/>
        <v>0</v>
      </c>
      <c r="P153" s="476">
        <f t="shared" si="46"/>
        <v>0</v>
      </c>
    </row>
    <row r="154" spans="2:16" ht="13.5" thickBot="1">
      <c r="B154" s="160" t="str">
        <f t="shared" si="29"/>
        <v/>
      </c>
      <c r="C154" s="487">
        <f>IF(D93="","-",+C153+1)</f>
        <v>2069</v>
      </c>
      <c r="D154" s="345">
        <f>IF(F153+SUM(E$99:E153)=D$92,F153,D$92-SUM(E$99:E153))</f>
        <v>0</v>
      </c>
      <c r="E154" s="482">
        <f t="shared" si="39"/>
        <v>0</v>
      </c>
      <c r="F154" s="483">
        <f t="shared" si="40"/>
        <v>0</v>
      </c>
      <c r="G154" s="483">
        <f t="shared" si="41"/>
        <v>0</v>
      </c>
      <c r="H154" s="486">
        <f t="shared" si="42"/>
        <v>0</v>
      </c>
      <c r="I154" s="540">
        <f t="shared" si="43"/>
        <v>0</v>
      </c>
      <c r="J154" s="476">
        <f t="shared" si="30"/>
        <v>0</v>
      </c>
      <c r="K154" s="476"/>
      <c r="L154" s="492"/>
      <c r="M154" s="493">
        <f t="shared" si="44"/>
        <v>0</v>
      </c>
      <c r="N154" s="492"/>
      <c r="O154" s="493">
        <f t="shared" si="45"/>
        <v>0</v>
      </c>
      <c r="P154" s="493">
        <f t="shared" si="46"/>
        <v>0</v>
      </c>
    </row>
    <row r="155" spans="2:16">
      <c r="C155" s="345" t="s">
        <v>77</v>
      </c>
      <c r="D155" s="346"/>
      <c r="E155" s="346">
        <f>SUM(E99:E154)</f>
        <v>2246629</v>
      </c>
      <c r="F155" s="346"/>
      <c r="G155" s="346"/>
      <c r="H155" s="346">
        <f>SUM(H99:H154)</f>
        <v>7654008.0973413717</v>
      </c>
      <c r="I155" s="346">
        <f>SUM(I99:I154)</f>
        <v>7654008.0973413717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39" priority="1" stopIfTrue="1" operator="equal">
      <formula>$I$10</formula>
    </cfRule>
  </conditionalFormatting>
  <conditionalFormatting sqref="C99:C154">
    <cfRule type="cellIs" dxfId="38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5"/>
  <dimension ref="A1:P162"/>
  <sheetViews>
    <sheetView topLeftCell="A90" zoomScaleNormal="100" zoomScaleSheetLayoutView="80" workbookViewId="0">
      <selection activeCell="V52" sqref="V5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16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575530.89578947367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575530.89578947367</v>
      </c>
      <c r="O6" s="231"/>
      <c r="P6" s="231"/>
    </row>
    <row r="7" spans="1:16" ht="13.5" thickBot="1">
      <c r="C7" s="429" t="s">
        <v>46</v>
      </c>
      <c r="D7" s="597" t="s">
        <v>255</v>
      </c>
      <c r="E7" s="598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254</v>
      </c>
      <c r="E9" s="575" t="s">
        <v>262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5059278.0399999991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2014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12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133138.89578947367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2014</v>
      </c>
      <c r="D17" s="582">
        <v>5300000</v>
      </c>
      <c r="E17" s="606">
        <v>0</v>
      </c>
      <c r="F17" s="582">
        <v>5300000</v>
      </c>
      <c r="G17" s="606">
        <v>729591.46876123699</v>
      </c>
      <c r="H17" s="585">
        <v>729591.46876123699</v>
      </c>
      <c r="I17" s="473">
        <v>0</v>
      </c>
      <c r="J17" s="473"/>
      <c r="K17" s="474">
        <f t="shared" ref="K17:K22" si="0">G17</f>
        <v>729591.46876123699</v>
      </c>
      <c r="L17" s="601">
        <f t="shared" ref="L17:L22" si="1">IF(K17&lt;&gt;0,+G17-K17,0)</f>
        <v>0</v>
      </c>
      <c r="M17" s="474">
        <f t="shared" ref="M17:M22" si="2">H17</f>
        <v>729591.46876123699</v>
      </c>
      <c r="N17" s="476">
        <f>IF(M17&lt;&gt;0,+H17-M17,0)</f>
        <v>0</v>
      </c>
      <c r="O17" s="473">
        <f>+N17-L17</f>
        <v>0</v>
      </c>
      <c r="P17" s="241"/>
    </row>
    <row r="18" spans="2:16">
      <c r="B18" s="160" t="str">
        <f>IF(D18=F17,"","IU")</f>
        <v/>
      </c>
      <c r="C18" s="470">
        <f>IF(D11="","-",+C17+1)</f>
        <v>2015</v>
      </c>
      <c r="D18" s="582">
        <v>5300000</v>
      </c>
      <c r="E18" s="583">
        <v>101923.07692307692</v>
      </c>
      <c r="F18" s="582">
        <v>5198076.923076923</v>
      </c>
      <c r="G18" s="583">
        <v>818590.55430690572</v>
      </c>
      <c r="H18" s="585">
        <v>818590.55430690572</v>
      </c>
      <c r="I18" s="473">
        <v>0</v>
      </c>
      <c r="J18" s="473"/>
      <c r="K18" s="474">
        <f t="shared" si="0"/>
        <v>818590.55430690572</v>
      </c>
      <c r="L18" s="601">
        <f t="shared" si="1"/>
        <v>0</v>
      </c>
      <c r="M18" s="474">
        <f t="shared" si="2"/>
        <v>818590.55430690572</v>
      </c>
      <c r="N18" s="476">
        <f>IF(M18&lt;&gt;0,+H18-M18,0)</f>
        <v>0</v>
      </c>
      <c r="O18" s="473">
        <f>+N18-L18</f>
        <v>0</v>
      </c>
      <c r="P18" s="241"/>
    </row>
    <row r="19" spans="2:16">
      <c r="B19" s="160" t="str">
        <f>IF(D19=F18,"","IU")</f>
        <v>IU</v>
      </c>
      <c r="C19" s="470">
        <f>IF(D11="","-",+C18+1)</f>
        <v>2016</v>
      </c>
      <c r="D19" s="582">
        <v>4969414.923076923</v>
      </c>
      <c r="E19" s="583">
        <v>97525.730769230766</v>
      </c>
      <c r="F19" s="582">
        <v>4871889.192307692</v>
      </c>
      <c r="G19" s="583">
        <v>736520.73076923075</v>
      </c>
      <c r="H19" s="585">
        <v>736520.73076923075</v>
      </c>
      <c r="I19" s="473">
        <f>H19-G19</f>
        <v>0</v>
      </c>
      <c r="J19" s="473"/>
      <c r="K19" s="474">
        <f t="shared" si="0"/>
        <v>736520.73076923075</v>
      </c>
      <c r="L19" s="601">
        <f t="shared" si="1"/>
        <v>0</v>
      </c>
      <c r="M19" s="474">
        <f t="shared" si="2"/>
        <v>736520.73076923075</v>
      </c>
      <c r="N19" s="476">
        <f>IF(M19&lt;&gt;0,+H19-M19,0)</f>
        <v>0</v>
      </c>
      <c r="O19" s="473">
        <f>+N19-L19</f>
        <v>0</v>
      </c>
      <c r="P19" s="241"/>
    </row>
    <row r="20" spans="2:16">
      <c r="B20" s="160" t="str">
        <f t="shared" ref="B20:B72" si="3">IF(D20=F19,"","IU")</f>
        <v>IU</v>
      </c>
      <c r="C20" s="470">
        <f>IF(D11="","-",+C19+1)</f>
        <v>2017</v>
      </c>
      <c r="D20" s="582">
        <v>4859829.192307692</v>
      </c>
      <c r="E20" s="583">
        <v>109984.30434782608</v>
      </c>
      <c r="F20" s="582">
        <v>4749844.8879598659</v>
      </c>
      <c r="G20" s="583">
        <v>714452.30434782605</v>
      </c>
      <c r="H20" s="585">
        <v>714452.30434782605</v>
      </c>
      <c r="I20" s="473">
        <f t="shared" ref="I20:I72" si="4">H20-G20</f>
        <v>0</v>
      </c>
      <c r="J20" s="473"/>
      <c r="K20" s="474">
        <f t="shared" si="0"/>
        <v>714452.30434782605</v>
      </c>
      <c r="L20" s="601">
        <f t="shared" si="1"/>
        <v>0</v>
      </c>
      <c r="M20" s="474">
        <f t="shared" si="2"/>
        <v>714452.30434782605</v>
      </c>
      <c r="N20" s="476">
        <f>IF(M20&lt;&gt;0,+H20-M20,0)</f>
        <v>0</v>
      </c>
      <c r="O20" s="473">
        <f>+N20-L20</f>
        <v>0</v>
      </c>
      <c r="P20" s="241"/>
    </row>
    <row r="21" spans="2:16">
      <c r="B21" s="160" t="str">
        <f t="shared" si="3"/>
        <v/>
      </c>
      <c r="C21" s="470">
        <f>IF(D11="","-",+C20+1)</f>
        <v>2018</v>
      </c>
      <c r="D21" s="582">
        <v>4749844.8879598659</v>
      </c>
      <c r="E21" s="583">
        <v>112428.4</v>
      </c>
      <c r="F21" s="582">
        <v>4637416.4879598655</v>
      </c>
      <c r="G21" s="583">
        <v>674532.63926355843</v>
      </c>
      <c r="H21" s="585">
        <v>674532.63926355843</v>
      </c>
      <c r="I21" s="473">
        <f t="shared" si="4"/>
        <v>0</v>
      </c>
      <c r="J21" s="473"/>
      <c r="K21" s="474">
        <f t="shared" si="0"/>
        <v>674532.63926355843</v>
      </c>
      <c r="L21" s="601">
        <f t="shared" si="1"/>
        <v>0</v>
      </c>
      <c r="M21" s="474">
        <f t="shared" si="2"/>
        <v>674532.63926355843</v>
      </c>
      <c r="N21" s="476">
        <f>IF(M21&lt;&gt;0,+H21-M21,0)</f>
        <v>0</v>
      </c>
      <c r="O21" s="473">
        <f>+N21-L21</f>
        <v>0</v>
      </c>
      <c r="P21" s="241"/>
    </row>
    <row r="22" spans="2:16">
      <c r="B22" s="160" t="str">
        <f t="shared" si="3"/>
        <v/>
      </c>
      <c r="C22" s="470">
        <f>IF(D11="","-",+C21+1)</f>
        <v>2019</v>
      </c>
      <c r="D22" s="582">
        <v>4637416.4879598655</v>
      </c>
      <c r="E22" s="583">
        <v>126481.95</v>
      </c>
      <c r="F22" s="582">
        <v>4510934.5379598653</v>
      </c>
      <c r="G22" s="583">
        <v>637218.97874084802</v>
      </c>
      <c r="H22" s="585">
        <v>637218.97874084802</v>
      </c>
      <c r="I22" s="473">
        <f t="shared" si="4"/>
        <v>0</v>
      </c>
      <c r="J22" s="473"/>
      <c r="K22" s="474">
        <f t="shared" si="0"/>
        <v>637218.97874084802</v>
      </c>
      <c r="L22" s="601">
        <f t="shared" si="1"/>
        <v>0</v>
      </c>
      <c r="M22" s="474">
        <f t="shared" si="2"/>
        <v>637218.97874084802</v>
      </c>
      <c r="N22" s="476">
        <f t="shared" ref="N22:N72" si="5">IF(M22&lt;&gt;0,+H22-M22,0)</f>
        <v>0</v>
      </c>
      <c r="O22" s="476">
        <f t="shared" ref="O22:O72" si="6">+N22-L22</f>
        <v>0</v>
      </c>
      <c r="P22" s="241"/>
    </row>
    <row r="23" spans="2:16">
      <c r="B23" s="160" t="str">
        <f t="shared" si="3"/>
        <v>IU</v>
      </c>
      <c r="C23" s="470">
        <f>IF(D11="","-",+C22+1)</f>
        <v>2020</v>
      </c>
      <c r="D23" s="582">
        <v>4524988.0879598651</v>
      </c>
      <c r="E23" s="583">
        <v>120459</v>
      </c>
      <c r="F23" s="582">
        <v>4404529.0879598651</v>
      </c>
      <c r="G23" s="583">
        <v>602674.25524940272</v>
      </c>
      <c r="H23" s="585">
        <v>602674.25524940272</v>
      </c>
      <c r="I23" s="473">
        <f t="shared" si="4"/>
        <v>0</v>
      </c>
      <c r="J23" s="473"/>
      <c r="K23" s="474">
        <f t="shared" ref="K23" si="7">G23</f>
        <v>602674.25524940272</v>
      </c>
      <c r="L23" s="601">
        <f t="shared" ref="L23" si="8">IF(K23&lt;&gt;0,+G23-K23,0)</f>
        <v>0</v>
      </c>
      <c r="M23" s="474">
        <f t="shared" ref="M23" si="9">H23</f>
        <v>602674.25524940272</v>
      </c>
      <c r="N23" s="476">
        <f t="shared" si="5"/>
        <v>0</v>
      </c>
      <c r="O23" s="476">
        <f t="shared" si="6"/>
        <v>0</v>
      </c>
      <c r="P23" s="241"/>
    </row>
    <row r="24" spans="2:16">
      <c r="B24" s="160" t="str">
        <f t="shared" si="3"/>
        <v>IU</v>
      </c>
      <c r="C24" s="470">
        <f>IF(D11="","-",+C23+1)</f>
        <v>2021</v>
      </c>
      <c r="D24" s="582">
        <v>4390475.5379598662</v>
      </c>
      <c r="E24" s="583">
        <v>117657.62790697675</v>
      </c>
      <c r="F24" s="582">
        <v>4272817.910052889</v>
      </c>
      <c r="G24" s="583">
        <v>578359.62790697673</v>
      </c>
      <c r="H24" s="585">
        <v>578359.62790697673</v>
      </c>
      <c r="I24" s="473">
        <f t="shared" si="4"/>
        <v>0</v>
      </c>
      <c r="J24" s="473"/>
      <c r="K24" s="474">
        <f t="shared" ref="K24" si="10">G24</f>
        <v>578359.62790697673</v>
      </c>
      <c r="L24" s="601">
        <f t="shared" ref="L24" si="11">IF(K24&lt;&gt;0,+G24-K24,0)</f>
        <v>0</v>
      </c>
      <c r="M24" s="474">
        <f t="shared" ref="M24" si="12">H24</f>
        <v>578359.62790697673</v>
      </c>
      <c r="N24" s="476">
        <f t="shared" si="5"/>
        <v>0</v>
      </c>
      <c r="O24" s="476">
        <f t="shared" si="6"/>
        <v>0</v>
      </c>
      <c r="P24" s="241"/>
    </row>
    <row r="25" spans="2:16">
      <c r="B25" s="160" t="str">
        <f t="shared" si="3"/>
        <v/>
      </c>
      <c r="C25" s="470">
        <f>IF(D11="","-",+C24+1)</f>
        <v>2022</v>
      </c>
      <c r="D25" s="582">
        <v>4272817.910052889</v>
      </c>
      <c r="E25" s="583">
        <v>120459</v>
      </c>
      <c r="F25" s="582">
        <v>4152358.910052889</v>
      </c>
      <c r="G25" s="583">
        <v>568130</v>
      </c>
      <c r="H25" s="585">
        <v>568130</v>
      </c>
      <c r="I25" s="473">
        <f t="shared" si="4"/>
        <v>0</v>
      </c>
      <c r="J25" s="473"/>
      <c r="K25" s="474">
        <f t="shared" ref="K25" si="13">G25</f>
        <v>568130</v>
      </c>
      <c r="L25" s="601">
        <f t="shared" ref="L25" si="14">IF(K25&lt;&gt;0,+G25-K25,0)</f>
        <v>0</v>
      </c>
      <c r="M25" s="474">
        <f t="shared" ref="M25" si="15">H25</f>
        <v>568130</v>
      </c>
      <c r="N25" s="476">
        <f t="shared" si="5"/>
        <v>0</v>
      </c>
      <c r="O25" s="476">
        <f t="shared" si="6"/>
        <v>0</v>
      </c>
      <c r="P25" s="241"/>
    </row>
    <row r="26" spans="2:16">
      <c r="B26" s="160" t="str">
        <f t="shared" si="3"/>
        <v>IU</v>
      </c>
      <c r="C26" s="470">
        <f>IF(D11="","-",+C25+1)</f>
        <v>2023</v>
      </c>
      <c r="D26" s="582">
        <v>4152358.9500528886</v>
      </c>
      <c r="E26" s="583">
        <v>129725.07794871792</v>
      </c>
      <c r="F26" s="582">
        <v>4022633.8721041707</v>
      </c>
      <c r="G26" s="583">
        <v>609862.07794871787</v>
      </c>
      <c r="H26" s="585">
        <v>609862.07794871787</v>
      </c>
      <c r="I26" s="473">
        <f t="shared" si="4"/>
        <v>0</v>
      </c>
      <c r="J26" s="473"/>
      <c r="K26" s="474">
        <f t="shared" ref="K26" si="16">G26</f>
        <v>609862.07794871787</v>
      </c>
      <c r="L26" s="601">
        <f t="shared" ref="L26" si="17">IF(K26&lt;&gt;0,+G26-K26,0)</f>
        <v>0</v>
      </c>
      <c r="M26" s="474">
        <f t="shared" ref="M26" si="18">H26</f>
        <v>609862.07794871787</v>
      </c>
      <c r="N26" s="476">
        <f t="shared" ref="N26" si="19">IF(M26&lt;&gt;0,+H26-M26,0)</f>
        <v>0</v>
      </c>
      <c r="O26" s="476">
        <f t="shared" ref="O26" si="20">+N26-L26</f>
        <v>0</v>
      </c>
      <c r="P26" s="241"/>
    </row>
    <row r="27" spans="2:16">
      <c r="B27" s="160" t="str">
        <f t="shared" si="3"/>
        <v/>
      </c>
      <c r="C27" s="631">
        <f>IF(D11="","-",+C26+1)</f>
        <v>2024</v>
      </c>
      <c r="D27" s="483">
        <f>IF(F26+SUM(E$17:E26)=D$10,F26,D$10-SUM(E$17:E26))</f>
        <v>4022633.8721041707</v>
      </c>
      <c r="E27" s="482">
        <f t="shared" ref="E27:E72" si="21">IF(+$I$14&lt;F26,$I$14,D27)</f>
        <v>133138.89578947367</v>
      </c>
      <c r="F27" s="483">
        <f t="shared" ref="F27:F72" si="22">+D27-E27</f>
        <v>3889494.9763146969</v>
      </c>
      <c r="G27" s="484">
        <f t="shared" ref="G27:G72" si="23">ROUND(I$12*F27,0)+E27</f>
        <v>575530.89578947367</v>
      </c>
      <c r="H27" s="453">
        <f t="shared" ref="H27:H72" si="24">ROUND(I$13*F27,0)+E27</f>
        <v>575530.89578947367</v>
      </c>
      <c r="I27" s="473">
        <f t="shared" si="4"/>
        <v>0</v>
      </c>
      <c r="J27" s="473"/>
      <c r="K27" s="485"/>
      <c r="L27" s="476">
        <f t="shared" ref="L27:L72" si="25">IF(K27&lt;&gt;0,+G27-K27,0)</f>
        <v>0</v>
      </c>
      <c r="M27" s="485"/>
      <c r="N27" s="476">
        <f t="shared" si="5"/>
        <v>0</v>
      </c>
      <c r="O27" s="476">
        <f t="shared" si="6"/>
        <v>0</v>
      </c>
      <c r="P27" s="241"/>
    </row>
    <row r="28" spans="2:16">
      <c r="B28" s="160" t="str">
        <f t="shared" si="3"/>
        <v/>
      </c>
      <c r="C28" s="470">
        <f>IF(D11="","-",+C27+1)</f>
        <v>2025</v>
      </c>
      <c r="D28" s="483">
        <f>IF(F27+SUM(E$17:E27)=D$10,F27,D$10-SUM(E$17:E27))</f>
        <v>3889494.9763146969</v>
      </c>
      <c r="E28" s="482">
        <f t="shared" si="21"/>
        <v>133138.89578947367</v>
      </c>
      <c r="F28" s="483">
        <f t="shared" si="22"/>
        <v>3756356.0805252232</v>
      </c>
      <c r="G28" s="484">
        <f t="shared" si="23"/>
        <v>560387.89578947367</v>
      </c>
      <c r="H28" s="453">
        <f t="shared" si="24"/>
        <v>560387.89578947367</v>
      </c>
      <c r="I28" s="473">
        <f t="shared" si="4"/>
        <v>0</v>
      </c>
      <c r="J28" s="473"/>
      <c r="K28" s="485"/>
      <c r="L28" s="476">
        <f t="shared" si="25"/>
        <v>0</v>
      </c>
      <c r="M28" s="485"/>
      <c r="N28" s="476">
        <f t="shared" si="5"/>
        <v>0</v>
      </c>
      <c r="O28" s="476">
        <f t="shared" si="6"/>
        <v>0</v>
      </c>
      <c r="P28" s="241"/>
    </row>
    <row r="29" spans="2:16">
      <c r="B29" s="160" t="str">
        <f t="shared" si="3"/>
        <v/>
      </c>
      <c r="C29" s="470">
        <f>IF(D11="","-",+C28+1)</f>
        <v>2026</v>
      </c>
      <c r="D29" s="483">
        <f>IF(F28+SUM(E$17:E28)=D$10,F28,D$10-SUM(E$17:E28))</f>
        <v>3756356.0805252232</v>
      </c>
      <c r="E29" s="482">
        <f t="shared" si="21"/>
        <v>133138.89578947367</v>
      </c>
      <c r="F29" s="483">
        <f t="shared" si="22"/>
        <v>3623217.1847357494</v>
      </c>
      <c r="G29" s="484">
        <f t="shared" si="23"/>
        <v>545243.89578947367</v>
      </c>
      <c r="H29" s="453">
        <f t="shared" si="24"/>
        <v>545243.89578947367</v>
      </c>
      <c r="I29" s="473">
        <f t="shared" si="4"/>
        <v>0</v>
      </c>
      <c r="J29" s="473"/>
      <c r="K29" s="485"/>
      <c r="L29" s="476">
        <f t="shared" si="25"/>
        <v>0</v>
      </c>
      <c r="M29" s="485"/>
      <c r="N29" s="476">
        <f t="shared" si="5"/>
        <v>0</v>
      </c>
      <c r="O29" s="476">
        <f t="shared" si="6"/>
        <v>0</v>
      </c>
      <c r="P29" s="241"/>
    </row>
    <row r="30" spans="2:16">
      <c r="B30" s="160" t="str">
        <f t="shared" si="3"/>
        <v/>
      </c>
      <c r="C30" s="470">
        <f>IF(D11="","-",+C29+1)</f>
        <v>2027</v>
      </c>
      <c r="D30" s="483">
        <f>IF(F29+SUM(E$17:E29)=D$10,F29,D$10-SUM(E$17:E29))</f>
        <v>3623217.1847357494</v>
      </c>
      <c r="E30" s="482">
        <f t="shared" si="21"/>
        <v>133138.89578947367</v>
      </c>
      <c r="F30" s="483">
        <f t="shared" si="22"/>
        <v>3490078.2889462756</v>
      </c>
      <c r="G30" s="484">
        <f t="shared" si="23"/>
        <v>530100.89578947367</v>
      </c>
      <c r="H30" s="453">
        <f t="shared" si="24"/>
        <v>530100.89578947367</v>
      </c>
      <c r="I30" s="473">
        <f t="shared" si="4"/>
        <v>0</v>
      </c>
      <c r="J30" s="473"/>
      <c r="K30" s="485"/>
      <c r="L30" s="476">
        <f t="shared" si="25"/>
        <v>0</v>
      </c>
      <c r="M30" s="485"/>
      <c r="N30" s="476">
        <f t="shared" si="5"/>
        <v>0</v>
      </c>
      <c r="O30" s="476">
        <f t="shared" si="6"/>
        <v>0</v>
      </c>
      <c r="P30" s="241"/>
    </row>
    <row r="31" spans="2:16">
      <c r="B31" s="160" t="str">
        <f t="shared" si="3"/>
        <v/>
      </c>
      <c r="C31" s="470">
        <f>IF(D11="","-",+C30+1)</f>
        <v>2028</v>
      </c>
      <c r="D31" s="483">
        <f>IF(F30+SUM(E$17:E30)=D$10,F30,D$10-SUM(E$17:E30))</f>
        <v>3490078.2889462756</v>
      </c>
      <c r="E31" s="482">
        <f t="shared" si="21"/>
        <v>133138.89578947367</v>
      </c>
      <c r="F31" s="483">
        <f t="shared" si="22"/>
        <v>3356939.3931568018</v>
      </c>
      <c r="G31" s="484">
        <f t="shared" si="23"/>
        <v>514957.89578947367</v>
      </c>
      <c r="H31" s="453">
        <f t="shared" si="24"/>
        <v>514957.89578947367</v>
      </c>
      <c r="I31" s="473">
        <f t="shared" si="4"/>
        <v>0</v>
      </c>
      <c r="J31" s="473"/>
      <c r="K31" s="485"/>
      <c r="L31" s="476">
        <f t="shared" si="25"/>
        <v>0</v>
      </c>
      <c r="M31" s="485"/>
      <c r="N31" s="476">
        <f t="shared" si="5"/>
        <v>0</v>
      </c>
      <c r="O31" s="476">
        <f t="shared" si="6"/>
        <v>0</v>
      </c>
      <c r="P31" s="241"/>
    </row>
    <row r="32" spans="2:16">
      <c r="B32" s="160" t="str">
        <f t="shared" si="3"/>
        <v/>
      </c>
      <c r="C32" s="470">
        <f>IF(D11="","-",+C31+1)</f>
        <v>2029</v>
      </c>
      <c r="D32" s="483">
        <f>IF(F31+SUM(E$17:E31)=D$10,F31,D$10-SUM(E$17:E31))</f>
        <v>3356939.3931568018</v>
      </c>
      <c r="E32" s="482">
        <f t="shared" si="21"/>
        <v>133138.89578947367</v>
      </c>
      <c r="F32" s="483">
        <f t="shared" si="22"/>
        <v>3223800.497367328</v>
      </c>
      <c r="G32" s="484">
        <f t="shared" si="23"/>
        <v>499814.89578947367</v>
      </c>
      <c r="H32" s="453">
        <f t="shared" si="24"/>
        <v>499814.89578947367</v>
      </c>
      <c r="I32" s="473">
        <f t="shared" si="4"/>
        <v>0</v>
      </c>
      <c r="J32" s="473"/>
      <c r="K32" s="485"/>
      <c r="L32" s="476">
        <f t="shared" si="25"/>
        <v>0</v>
      </c>
      <c r="M32" s="485"/>
      <c r="N32" s="476">
        <f t="shared" si="5"/>
        <v>0</v>
      </c>
      <c r="O32" s="476">
        <f t="shared" si="6"/>
        <v>0</v>
      </c>
      <c r="P32" s="241"/>
    </row>
    <row r="33" spans="2:16">
      <c r="B33" s="160" t="str">
        <f t="shared" si="3"/>
        <v/>
      </c>
      <c r="C33" s="470">
        <f>IF(D11="","-",+C32+1)</f>
        <v>2030</v>
      </c>
      <c r="D33" s="483">
        <f>IF(F32+SUM(E$17:E32)=D$10,F32,D$10-SUM(E$17:E32))</f>
        <v>3223800.497367328</v>
      </c>
      <c r="E33" s="482">
        <f t="shared" si="21"/>
        <v>133138.89578947367</v>
      </c>
      <c r="F33" s="483">
        <f t="shared" si="22"/>
        <v>3090661.6015778542</v>
      </c>
      <c r="G33" s="484">
        <f t="shared" si="23"/>
        <v>484670.89578947367</v>
      </c>
      <c r="H33" s="453">
        <f t="shared" si="24"/>
        <v>484670.89578947367</v>
      </c>
      <c r="I33" s="473">
        <f t="shared" si="4"/>
        <v>0</v>
      </c>
      <c r="J33" s="473"/>
      <c r="K33" s="485"/>
      <c r="L33" s="476">
        <f t="shared" si="25"/>
        <v>0</v>
      </c>
      <c r="M33" s="485"/>
      <c r="N33" s="476">
        <f t="shared" si="5"/>
        <v>0</v>
      </c>
      <c r="O33" s="476">
        <f t="shared" si="6"/>
        <v>0</v>
      </c>
      <c r="P33" s="241"/>
    </row>
    <row r="34" spans="2:16">
      <c r="B34" s="160" t="str">
        <f t="shared" si="3"/>
        <v/>
      </c>
      <c r="C34" s="470">
        <f>IF(D11="","-",+C33+1)</f>
        <v>2031</v>
      </c>
      <c r="D34" s="483">
        <f>IF(F33+SUM(E$17:E33)=D$10,F33,D$10-SUM(E$17:E33))</f>
        <v>3090661.6015778542</v>
      </c>
      <c r="E34" s="482">
        <f t="shared" si="21"/>
        <v>133138.89578947367</v>
      </c>
      <c r="F34" s="483">
        <f t="shared" si="22"/>
        <v>2957522.7057883805</v>
      </c>
      <c r="G34" s="484">
        <f t="shared" si="23"/>
        <v>469527.89578947367</v>
      </c>
      <c r="H34" s="453">
        <f t="shared" si="24"/>
        <v>469527.89578947367</v>
      </c>
      <c r="I34" s="473">
        <f t="shared" si="4"/>
        <v>0</v>
      </c>
      <c r="J34" s="473"/>
      <c r="K34" s="485"/>
      <c r="L34" s="476">
        <f t="shared" si="25"/>
        <v>0</v>
      </c>
      <c r="M34" s="485"/>
      <c r="N34" s="476">
        <f t="shared" si="5"/>
        <v>0</v>
      </c>
      <c r="O34" s="476">
        <f t="shared" si="6"/>
        <v>0</v>
      </c>
      <c r="P34" s="241"/>
    </row>
    <row r="35" spans="2:16">
      <c r="B35" s="160" t="str">
        <f t="shared" si="3"/>
        <v/>
      </c>
      <c r="C35" s="470">
        <f>IF(D11="","-",+C34+1)</f>
        <v>2032</v>
      </c>
      <c r="D35" s="483">
        <f>IF(F34+SUM(E$17:E34)=D$10,F34,D$10-SUM(E$17:E34))</f>
        <v>2957522.7057883805</v>
      </c>
      <c r="E35" s="482">
        <f t="shared" si="21"/>
        <v>133138.89578947367</v>
      </c>
      <c r="F35" s="483">
        <f t="shared" si="22"/>
        <v>2824383.8099989067</v>
      </c>
      <c r="G35" s="484">
        <f t="shared" si="23"/>
        <v>454384.89578947367</v>
      </c>
      <c r="H35" s="453">
        <f t="shared" si="24"/>
        <v>454384.89578947367</v>
      </c>
      <c r="I35" s="473">
        <f t="shared" si="4"/>
        <v>0</v>
      </c>
      <c r="J35" s="473"/>
      <c r="K35" s="485"/>
      <c r="L35" s="476">
        <f t="shared" si="25"/>
        <v>0</v>
      </c>
      <c r="M35" s="485"/>
      <c r="N35" s="476">
        <f t="shared" si="5"/>
        <v>0</v>
      </c>
      <c r="O35" s="476">
        <f t="shared" si="6"/>
        <v>0</v>
      </c>
      <c r="P35" s="241"/>
    </row>
    <row r="36" spans="2:16">
      <c r="B36" s="160" t="str">
        <f t="shared" si="3"/>
        <v/>
      </c>
      <c r="C36" s="470">
        <f>IF(D11="","-",+C35+1)</f>
        <v>2033</v>
      </c>
      <c r="D36" s="483">
        <f>IF(F35+SUM(E$17:E35)=D$10,F35,D$10-SUM(E$17:E35))</f>
        <v>2824383.8099989067</v>
      </c>
      <c r="E36" s="482">
        <f t="shared" si="21"/>
        <v>133138.89578947367</v>
      </c>
      <c r="F36" s="483">
        <f t="shared" si="22"/>
        <v>2691244.9142094329</v>
      </c>
      <c r="G36" s="484">
        <f t="shared" si="23"/>
        <v>439241.89578947367</v>
      </c>
      <c r="H36" s="453">
        <f t="shared" si="24"/>
        <v>439241.89578947367</v>
      </c>
      <c r="I36" s="473">
        <f t="shared" si="4"/>
        <v>0</v>
      </c>
      <c r="J36" s="473"/>
      <c r="K36" s="485"/>
      <c r="L36" s="476">
        <f t="shared" si="25"/>
        <v>0</v>
      </c>
      <c r="M36" s="485"/>
      <c r="N36" s="476">
        <f t="shared" si="5"/>
        <v>0</v>
      </c>
      <c r="O36" s="476">
        <f t="shared" si="6"/>
        <v>0</v>
      </c>
      <c r="P36" s="241"/>
    </row>
    <row r="37" spans="2:16">
      <c r="B37" s="160" t="str">
        <f t="shared" si="3"/>
        <v/>
      </c>
      <c r="C37" s="470">
        <f>IF(D11="","-",+C36+1)</f>
        <v>2034</v>
      </c>
      <c r="D37" s="483">
        <f>IF(F36+SUM(E$17:E36)=D$10,F36,D$10-SUM(E$17:E36))</f>
        <v>2691244.9142094329</v>
      </c>
      <c r="E37" s="482">
        <f t="shared" si="21"/>
        <v>133138.89578947367</v>
      </c>
      <c r="F37" s="483">
        <f t="shared" si="22"/>
        <v>2558106.0184199591</v>
      </c>
      <c r="G37" s="484">
        <f t="shared" si="23"/>
        <v>424097.89578947367</v>
      </c>
      <c r="H37" s="453">
        <f t="shared" si="24"/>
        <v>424097.89578947367</v>
      </c>
      <c r="I37" s="473">
        <f t="shared" si="4"/>
        <v>0</v>
      </c>
      <c r="J37" s="473"/>
      <c r="K37" s="485"/>
      <c r="L37" s="476">
        <f t="shared" si="25"/>
        <v>0</v>
      </c>
      <c r="M37" s="485"/>
      <c r="N37" s="476">
        <f t="shared" si="5"/>
        <v>0</v>
      </c>
      <c r="O37" s="476">
        <f t="shared" si="6"/>
        <v>0</v>
      </c>
      <c r="P37" s="241"/>
    </row>
    <row r="38" spans="2:16">
      <c r="B38" s="160" t="str">
        <f t="shared" si="3"/>
        <v/>
      </c>
      <c r="C38" s="470">
        <f>IF(D11="","-",+C37+1)</f>
        <v>2035</v>
      </c>
      <c r="D38" s="483">
        <f>IF(F37+SUM(E$17:E37)=D$10,F37,D$10-SUM(E$17:E37))</f>
        <v>2558106.0184199591</v>
      </c>
      <c r="E38" s="482">
        <f t="shared" si="21"/>
        <v>133138.89578947367</v>
      </c>
      <c r="F38" s="483">
        <f t="shared" si="22"/>
        <v>2424967.1226304853</v>
      </c>
      <c r="G38" s="484">
        <f t="shared" si="23"/>
        <v>408954.89578947367</v>
      </c>
      <c r="H38" s="453">
        <f t="shared" si="24"/>
        <v>408954.89578947367</v>
      </c>
      <c r="I38" s="473">
        <f t="shared" si="4"/>
        <v>0</v>
      </c>
      <c r="J38" s="473"/>
      <c r="K38" s="485"/>
      <c r="L38" s="476">
        <f t="shared" si="25"/>
        <v>0</v>
      </c>
      <c r="M38" s="485"/>
      <c r="N38" s="476">
        <f t="shared" si="5"/>
        <v>0</v>
      </c>
      <c r="O38" s="476">
        <f t="shared" si="6"/>
        <v>0</v>
      </c>
      <c r="P38" s="241"/>
    </row>
    <row r="39" spans="2:16">
      <c r="B39" s="160" t="str">
        <f t="shared" si="3"/>
        <v/>
      </c>
      <c r="C39" s="470">
        <f>IF(D11="","-",+C38+1)</f>
        <v>2036</v>
      </c>
      <c r="D39" s="483">
        <f>IF(F38+SUM(E$17:E38)=D$10,F38,D$10-SUM(E$17:E38))</f>
        <v>2424967.1226304853</v>
      </c>
      <c r="E39" s="482">
        <f t="shared" si="21"/>
        <v>133138.89578947367</v>
      </c>
      <c r="F39" s="483">
        <f t="shared" si="22"/>
        <v>2291828.2268410116</v>
      </c>
      <c r="G39" s="484">
        <f t="shared" si="23"/>
        <v>393811.89578947367</v>
      </c>
      <c r="H39" s="453">
        <f t="shared" si="24"/>
        <v>393811.89578947367</v>
      </c>
      <c r="I39" s="473">
        <f t="shared" si="4"/>
        <v>0</v>
      </c>
      <c r="J39" s="473"/>
      <c r="K39" s="485"/>
      <c r="L39" s="476">
        <f t="shared" si="25"/>
        <v>0</v>
      </c>
      <c r="M39" s="485"/>
      <c r="N39" s="476">
        <f t="shared" si="5"/>
        <v>0</v>
      </c>
      <c r="O39" s="476">
        <f t="shared" si="6"/>
        <v>0</v>
      </c>
      <c r="P39" s="241"/>
    </row>
    <row r="40" spans="2:16">
      <c r="B40" s="160" t="str">
        <f t="shared" si="3"/>
        <v/>
      </c>
      <c r="C40" s="470">
        <f>IF(D11="","-",+C39+1)</f>
        <v>2037</v>
      </c>
      <c r="D40" s="483">
        <f>IF(F39+SUM(E$17:E39)=D$10,F39,D$10-SUM(E$17:E39))</f>
        <v>2291828.2268410116</v>
      </c>
      <c r="E40" s="482">
        <f t="shared" si="21"/>
        <v>133138.89578947367</v>
      </c>
      <c r="F40" s="483">
        <f t="shared" si="22"/>
        <v>2158689.3310515378</v>
      </c>
      <c r="G40" s="484">
        <f t="shared" si="23"/>
        <v>378668.89578947367</v>
      </c>
      <c r="H40" s="453">
        <f t="shared" si="24"/>
        <v>378668.89578947367</v>
      </c>
      <c r="I40" s="473">
        <f t="shared" si="4"/>
        <v>0</v>
      </c>
      <c r="J40" s="473"/>
      <c r="K40" s="485"/>
      <c r="L40" s="476">
        <f t="shared" si="25"/>
        <v>0</v>
      </c>
      <c r="M40" s="485"/>
      <c r="N40" s="476">
        <f t="shared" si="5"/>
        <v>0</v>
      </c>
      <c r="O40" s="476">
        <f t="shared" si="6"/>
        <v>0</v>
      </c>
      <c r="P40" s="241"/>
    </row>
    <row r="41" spans="2:16">
      <c r="B41" s="160" t="str">
        <f t="shared" si="3"/>
        <v/>
      </c>
      <c r="C41" s="470">
        <f>IF(D11="","-",+C40+1)</f>
        <v>2038</v>
      </c>
      <c r="D41" s="483">
        <f>IF(F40+SUM(E$17:E40)=D$10,F40,D$10-SUM(E$17:E40))</f>
        <v>2158689.3310515378</v>
      </c>
      <c r="E41" s="482">
        <f t="shared" si="21"/>
        <v>133138.89578947367</v>
      </c>
      <c r="F41" s="483">
        <f t="shared" si="22"/>
        <v>2025550.435262064</v>
      </c>
      <c r="G41" s="484">
        <f t="shared" si="23"/>
        <v>363524.89578947367</v>
      </c>
      <c r="H41" s="453">
        <f t="shared" si="24"/>
        <v>363524.89578947367</v>
      </c>
      <c r="I41" s="473">
        <f t="shared" si="4"/>
        <v>0</v>
      </c>
      <c r="J41" s="473"/>
      <c r="K41" s="485"/>
      <c r="L41" s="476">
        <f t="shared" si="25"/>
        <v>0</v>
      </c>
      <c r="M41" s="485"/>
      <c r="N41" s="476">
        <f t="shared" si="5"/>
        <v>0</v>
      </c>
      <c r="O41" s="476">
        <f t="shared" si="6"/>
        <v>0</v>
      </c>
      <c r="P41" s="241"/>
    </row>
    <row r="42" spans="2:16">
      <c r="B42" s="160" t="str">
        <f t="shared" si="3"/>
        <v/>
      </c>
      <c r="C42" s="470">
        <f>IF(D11="","-",+C41+1)</f>
        <v>2039</v>
      </c>
      <c r="D42" s="483">
        <f>IF(F41+SUM(E$17:E41)=D$10,F41,D$10-SUM(E$17:E41))</f>
        <v>2025550.435262064</v>
      </c>
      <c r="E42" s="482">
        <f t="shared" si="21"/>
        <v>133138.89578947367</v>
      </c>
      <c r="F42" s="483">
        <f t="shared" si="22"/>
        <v>1892411.5394725902</v>
      </c>
      <c r="G42" s="484">
        <f t="shared" si="23"/>
        <v>348381.89578947367</v>
      </c>
      <c r="H42" s="453">
        <f t="shared" si="24"/>
        <v>348381.89578947367</v>
      </c>
      <c r="I42" s="473">
        <f t="shared" si="4"/>
        <v>0</v>
      </c>
      <c r="J42" s="473"/>
      <c r="K42" s="485"/>
      <c r="L42" s="476">
        <f t="shared" si="25"/>
        <v>0</v>
      </c>
      <c r="M42" s="485"/>
      <c r="N42" s="476">
        <f t="shared" si="5"/>
        <v>0</v>
      </c>
      <c r="O42" s="476">
        <f t="shared" si="6"/>
        <v>0</v>
      </c>
      <c r="P42" s="241"/>
    </row>
    <row r="43" spans="2:16">
      <c r="B43" s="160" t="str">
        <f t="shared" si="3"/>
        <v/>
      </c>
      <c r="C43" s="470">
        <f>IF(D11="","-",+C42+1)</f>
        <v>2040</v>
      </c>
      <c r="D43" s="483">
        <f>IF(F42+SUM(E$17:E42)=D$10,F42,D$10-SUM(E$17:E42))</f>
        <v>1892411.5394725902</v>
      </c>
      <c r="E43" s="482">
        <f t="shared" si="21"/>
        <v>133138.89578947367</v>
      </c>
      <c r="F43" s="483">
        <f t="shared" si="22"/>
        <v>1759272.6436831164</v>
      </c>
      <c r="G43" s="484">
        <f t="shared" si="23"/>
        <v>333238.89578947367</v>
      </c>
      <c r="H43" s="453">
        <f t="shared" si="24"/>
        <v>333238.89578947367</v>
      </c>
      <c r="I43" s="473">
        <f t="shared" si="4"/>
        <v>0</v>
      </c>
      <c r="J43" s="473"/>
      <c r="K43" s="485"/>
      <c r="L43" s="476">
        <f t="shared" si="25"/>
        <v>0</v>
      </c>
      <c r="M43" s="485"/>
      <c r="N43" s="476">
        <f t="shared" si="5"/>
        <v>0</v>
      </c>
      <c r="O43" s="476">
        <f t="shared" si="6"/>
        <v>0</v>
      </c>
      <c r="P43" s="241"/>
    </row>
    <row r="44" spans="2:16">
      <c r="B44" s="160" t="str">
        <f t="shared" si="3"/>
        <v/>
      </c>
      <c r="C44" s="470">
        <f>IF(D11="","-",+C43+1)</f>
        <v>2041</v>
      </c>
      <c r="D44" s="483">
        <f>IF(F43+SUM(E$17:E43)=D$10,F43,D$10-SUM(E$17:E43))</f>
        <v>1759272.6436831164</v>
      </c>
      <c r="E44" s="482">
        <f t="shared" si="21"/>
        <v>133138.89578947367</v>
      </c>
      <c r="F44" s="483">
        <f t="shared" si="22"/>
        <v>1626133.7478936426</v>
      </c>
      <c r="G44" s="484">
        <f t="shared" si="23"/>
        <v>318095.89578947367</v>
      </c>
      <c r="H44" s="453">
        <f t="shared" si="24"/>
        <v>318095.89578947367</v>
      </c>
      <c r="I44" s="473">
        <f t="shared" si="4"/>
        <v>0</v>
      </c>
      <c r="J44" s="473"/>
      <c r="K44" s="485"/>
      <c r="L44" s="476">
        <f t="shared" si="25"/>
        <v>0</v>
      </c>
      <c r="M44" s="485"/>
      <c r="N44" s="476">
        <f t="shared" si="5"/>
        <v>0</v>
      </c>
      <c r="O44" s="476">
        <f t="shared" si="6"/>
        <v>0</v>
      </c>
      <c r="P44" s="241"/>
    </row>
    <row r="45" spans="2:16">
      <c r="B45" s="160" t="str">
        <f t="shared" si="3"/>
        <v/>
      </c>
      <c r="C45" s="470">
        <f>IF(D11="","-",+C44+1)</f>
        <v>2042</v>
      </c>
      <c r="D45" s="483">
        <f>IF(F44+SUM(E$17:E44)=D$10,F44,D$10-SUM(E$17:E44))</f>
        <v>1626133.7478936426</v>
      </c>
      <c r="E45" s="482">
        <f t="shared" si="21"/>
        <v>133138.89578947367</v>
      </c>
      <c r="F45" s="483">
        <f t="shared" si="22"/>
        <v>1492994.8521041689</v>
      </c>
      <c r="G45" s="484">
        <f t="shared" si="23"/>
        <v>302952.89578947367</v>
      </c>
      <c r="H45" s="453">
        <f t="shared" si="24"/>
        <v>302952.89578947367</v>
      </c>
      <c r="I45" s="473">
        <f t="shared" si="4"/>
        <v>0</v>
      </c>
      <c r="J45" s="473"/>
      <c r="K45" s="485"/>
      <c r="L45" s="476">
        <f t="shared" si="25"/>
        <v>0</v>
      </c>
      <c r="M45" s="485"/>
      <c r="N45" s="476">
        <f t="shared" si="5"/>
        <v>0</v>
      </c>
      <c r="O45" s="476">
        <f t="shared" si="6"/>
        <v>0</v>
      </c>
      <c r="P45" s="241"/>
    </row>
    <row r="46" spans="2:16">
      <c r="B46" s="160" t="str">
        <f t="shared" si="3"/>
        <v/>
      </c>
      <c r="C46" s="470">
        <f>IF(D11="","-",+C45+1)</f>
        <v>2043</v>
      </c>
      <c r="D46" s="483">
        <f>IF(F45+SUM(E$17:E45)=D$10,F45,D$10-SUM(E$17:E45))</f>
        <v>1492994.8521041689</v>
      </c>
      <c r="E46" s="482">
        <f t="shared" si="21"/>
        <v>133138.89578947367</v>
      </c>
      <c r="F46" s="483">
        <f t="shared" si="22"/>
        <v>1359855.9563146951</v>
      </c>
      <c r="G46" s="484">
        <f t="shared" si="23"/>
        <v>287808.89578947367</v>
      </c>
      <c r="H46" s="453">
        <f t="shared" si="24"/>
        <v>287808.89578947367</v>
      </c>
      <c r="I46" s="473">
        <f t="shared" si="4"/>
        <v>0</v>
      </c>
      <c r="J46" s="473"/>
      <c r="K46" s="485"/>
      <c r="L46" s="476">
        <f t="shared" si="25"/>
        <v>0</v>
      </c>
      <c r="M46" s="485"/>
      <c r="N46" s="476">
        <f t="shared" si="5"/>
        <v>0</v>
      </c>
      <c r="O46" s="476">
        <f t="shared" si="6"/>
        <v>0</v>
      </c>
      <c r="P46" s="241"/>
    </row>
    <row r="47" spans="2:16">
      <c r="B47" s="160" t="str">
        <f t="shared" si="3"/>
        <v/>
      </c>
      <c r="C47" s="470">
        <f>IF(D11="","-",+C46+1)</f>
        <v>2044</v>
      </c>
      <c r="D47" s="483">
        <f>IF(F46+SUM(E$17:E46)=D$10,F46,D$10-SUM(E$17:E46))</f>
        <v>1359855.9563146951</v>
      </c>
      <c r="E47" s="482">
        <f t="shared" si="21"/>
        <v>133138.89578947367</v>
      </c>
      <c r="F47" s="483">
        <f t="shared" si="22"/>
        <v>1226717.0605252213</v>
      </c>
      <c r="G47" s="484">
        <f t="shared" si="23"/>
        <v>272665.89578947367</v>
      </c>
      <c r="H47" s="453">
        <f t="shared" si="24"/>
        <v>272665.89578947367</v>
      </c>
      <c r="I47" s="473">
        <f t="shared" si="4"/>
        <v>0</v>
      </c>
      <c r="J47" s="473"/>
      <c r="K47" s="485"/>
      <c r="L47" s="476">
        <f t="shared" si="25"/>
        <v>0</v>
      </c>
      <c r="M47" s="485"/>
      <c r="N47" s="476">
        <f t="shared" si="5"/>
        <v>0</v>
      </c>
      <c r="O47" s="476">
        <f t="shared" si="6"/>
        <v>0</v>
      </c>
      <c r="P47" s="241"/>
    </row>
    <row r="48" spans="2:16">
      <c r="B48" s="160" t="str">
        <f t="shared" si="3"/>
        <v/>
      </c>
      <c r="C48" s="470">
        <f>IF(D11="","-",+C47+1)</f>
        <v>2045</v>
      </c>
      <c r="D48" s="483">
        <f>IF(F47+SUM(E$17:E47)=D$10,F47,D$10-SUM(E$17:E47))</f>
        <v>1226717.0605252213</v>
      </c>
      <c r="E48" s="482">
        <f t="shared" si="21"/>
        <v>133138.89578947367</v>
      </c>
      <c r="F48" s="483">
        <f t="shared" si="22"/>
        <v>1093578.1647357475</v>
      </c>
      <c r="G48" s="484">
        <f t="shared" si="23"/>
        <v>257522.89578947367</v>
      </c>
      <c r="H48" s="453">
        <f t="shared" si="24"/>
        <v>257522.89578947367</v>
      </c>
      <c r="I48" s="473">
        <f t="shared" si="4"/>
        <v>0</v>
      </c>
      <c r="J48" s="473"/>
      <c r="K48" s="485"/>
      <c r="L48" s="476">
        <f t="shared" si="25"/>
        <v>0</v>
      </c>
      <c r="M48" s="485"/>
      <c r="N48" s="476">
        <f t="shared" si="5"/>
        <v>0</v>
      </c>
      <c r="O48" s="476">
        <f t="shared" si="6"/>
        <v>0</v>
      </c>
      <c r="P48" s="241"/>
    </row>
    <row r="49" spans="2:16">
      <c r="B49" s="160" t="str">
        <f t="shared" si="3"/>
        <v/>
      </c>
      <c r="C49" s="470">
        <f>IF(D11="","-",+C48+1)</f>
        <v>2046</v>
      </c>
      <c r="D49" s="483">
        <f>IF(F48+SUM(E$17:E48)=D$10,F48,D$10-SUM(E$17:E48))</f>
        <v>1093578.1647357475</v>
      </c>
      <c r="E49" s="482">
        <f t="shared" si="21"/>
        <v>133138.89578947367</v>
      </c>
      <c r="F49" s="483">
        <f t="shared" si="22"/>
        <v>960439.26894627383</v>
      </c>
      <c r="G49" s="484">
        <f t="shared" si="23"/>
        <v>242379.89578947367</v>
      </c>
      <c r="H49" s="453">
        <f t="shared" si="24"/>
        <v>242379.89578947367</v>
      </c>
      <c r="I49" s="473">
        <f t="shared" si="4"/>
        <v>0</v>
      </c>
      <c r="J49" s="473"/>
      <c r="K49" s="485"/>
      <c r="L49" s="476">
        <f t="shared" si="25"/>
        <v>0</v>
      </c>
      <c r="M49" s="485"/>
      <c r="N49" s="476">
        <f t="shared" si="5"/>
        <v>0</v>
      </c>
      <c r="O49" s="476">
        <f t="shared" si="6"/>
        <v>0</v>
      </c>
      <c r="P49" s="241"/>
    </row>
    <row r="50" spans="2:16">
      <c r="B50" s="160" t="str">
        <f t="shared" si="3"/>
        <v/>
      </c>
      <c r="C50" s="470">
        <f>IF(D11="","-",+C49+1)</f>
        <v>2047</v>
      </c>
      <c r="D50" s="483">
        <f>IF(F49+SUM(E$17:E49)=D$10,F49,D$10-SUM(E$17:E49))</f>
        <v>960439.26894627383</v>
      </c>
      <c r="E50" s="482">
        <f t="shared" si="21"/>
        <v>133138.89578947367</v>
      </c>
      <c r="F50" s="483">
        <f t="shared" si="22"/>
        <v>827300.37315680017</v>
      </c>
      <c r="G50" s="484">
        <f t="shared" si="23"/>
        <v>227235.89578947367</v>
      </c>
      <c r="H50" s="453">
        <f t="shared" si="24"/>
        <v>227235.89578947367</v>
      </c>
      <c r="I50" s="473">
        <f t="shared" si="4"/>
        <v>0</v>
      </c>
      <c r="J50" s="473"/>
      <c r="K50" s="485"/>
      <c r="L50" s="476">
        <f t="shared" si="25"/>
        <v>0</v>
      </c>
      <c r="M50" s="485"/>
      <c r="N50" s="476">
        <f t="shared" si="5"/>
        <v>0</v>
      </c>
      <c r="O50" s="476">
        <f t="shared" si="6"/>
        <v>0</v>
      </c>
      <c r="P50" s="241"/>
    </row>
    <row r="51" spans="2:16">
      <c r="B51" s="160" t="str">
        <f t="shared" si="3"/>
        <v/>
      </c>
      <c r="C51" s="470">
        <f>IF(D11="","-",+C50+1)</f>
        <v>2048</v>
      </c>
      <c r="D51" s="483">
        <f>IF(F50+SUM(E$17:E50)=D$10,F50,D$10-SUM(E$17:E50))</f>
        <v>827300.37315680017</v>
      </c>
      <c r="E51" s="482">
        <f t="shared" si="21"/>
        <v>133138.89578947367</v>
      </c>
      <c r="F51" s="483">
        <f t="shared" si="22"/>
        <v>694161.4773673265</v>
      </c>
      <c r="G51" s="484">
        <f t="shared" si="23"/>
        <v>212092.89578947367</v>
      </c>
      <c r="H51" s="453">
        <f t="shared" si="24"/>
        <v>212092.89578947367</v>
      </c>
      <c r="I51" s="473">
        <f t="shared" si="4"/>
        <v>0</v>
      </c>
      <c r="J51" s="473"/>
      <c r="K51" s="485"/>
      <c r="L51" s="476">
        <f t="shared" si="25"/>
        <v>0</v>
      </c>
      <c r="M51" s="485"/>
      <c r="N51" s="476">
        <f t="shared" si="5"/>
        <v>0</v>
      </c>
      <c r="O51" s="476">
        <f t="shared" si="6"/>
        <v>0</v>
      </c>
      <c r="P51" s="241"/>
    </row>
    <row r="52" spans="2:16">
      <c r="B52" s="160" t="str">
        <f t="shared" si="3"/>
        <v/>
      </c>
      <c r="C52" s="470">
        <f>IF(D11="","-",+C51+1)</f>
        <v>2049</v>
      </c>
      <c r="D52" s="483">
        <f>IF(F51+SUM(E$17:E51)=D$10,F51,D$10-SUM(E$17:E51))</f>
        <v>694161.4773673265</v>
      </c>
      <c r="E52" s="482">
        <f t="shared" si="21"/>
        <v>133138.89578947367</v>
      </c>
      <c r="F52" s="483">
        <f t="shared" si="22"/>
        <v>561022.58157785283</v>
      </c>
      <c r="G52" s="484">
        <f t="shared" si="23"/>
        <v>196949.89578947367</v>
      </c>
      <c r="H52" s="453">
        <f t="shared" si="24"/>
        <v>196949.89578947367</v>
      </c>
      <c r="I52" s="473">
        <f t="shared" si="4"/>
        <v>0</v>
      </c>
      <c r="J52" s="473"/>
      <c r="K52" s="485"/>
      <c r="L52" s="476">
        <f t="shared" si="25"/>
        <v>0</v>
      </c>
      <c r="M52" s="485"/>
      <c r="N52" s="476">
        <f t="shared" si="5"/>
        <v>0</v>
      </c>
      <c r="O52" s="476">
        <f t="shared" si="6"/>
        <v>0</v>
      </c>
      <c r="P52" s="241"/>
    </row>
    <row r="53" spans="2:16">
      <c r="B53" s="160" t="str">
        <f t="shared" si="3"/>
        <v/>
      </c>
      <c r="C53" s="470">
        <f>IF(D11="","-",+C52+1)</f>
        <v>2050</v>
      </c>
      <c r="D53" s="483">
        <f>IF(F52+SUM(E$17:E52)=D$10,F52,D$10-SUM(E$17:E52))</f>
        <v>561022.58157785283</v>
      </c>
      <c r="E53" s="482">
        <f t="shared" si="21"/>
        <v>133138.89578947367</v>
      </c>
      <c r="F53" s="483">
        <f t="shared" si="22"/>
        <v>427883.68578837917</v>
      </c>
      <c r="G53" s="484">
        <f t="shared" si="23"/>
        <v>181806.89578947367</v>
      </c>
      <c r="H53" s="453">
        <f t="shared" si="24"/>
        <v>181806.89578947367</v>
      </c>
      <c r="I53" s="473">
        <f t="shared" si="4"/>
        <v>0</v>
      </c>
      <c r="J53" s="473"/>
      <c r="K53" s="485"/>
      <c r="L53" s="476">
        <f t="shared" si="25"/>
        <v>0</v>
      </c>
      <c r="M53" s="485"/>
      <c r="N53" s="476">
        <f t="shared" si="5"/>
        <v>0</v>
      </c>
      <c r="O53" s="476">
        <f t="shared" si="6"/>
        <v>0</v>
      </c>
      <c r="P53" s="241"/>
    </row>
    <row r="54" spans="2:16">
      <c r="B54" s="160" t="str">
        <f t="shared" si="3"/>
        <v/>
      </c>
      <c r="C54" s="470">
        <f>IF(D11="","-",+C53+1)</f>
        <v>2051</v>
      </c>
      <c r="D54" s="483">
        <f>IF(F53+SUM(E$17:E53)=D$10,F53,D$10-SUM(E$17:E53))</f>
        <v>427883.68578837917</v>
      </c>
      <c r="E54" s="482">
        <f t="shared" si="21"/>
        <v>133138.89578947367</v>
      </c>
      <c r="F54" s="483">
        <f t="shared" si="22"/>
        <v>294744.7899989055</v>
      </c>
      <c r="G54" s="484">
        <f t="shared" si="23"/>
        <v>166662.89578947367</v>
      </c>
      <c r="H54" s="453">
        <f t="shared" si="24"/>
        <v>166662.89578947367</v>
      </c>
      <c r="I54" s="473">
        <f t="shared" si="4"/>
        <v>0</v>
      </c>
      <c r="J54" s="473"/>
      <c r="K54" s="485"/>
      <c r="L54" s="476">
        <f t="shared" si="25"/>
        <v>0</v>
      </c>
      <c r="M54" s="485"/>
      <c r="N54" s="476">
        <f t="shared" si="5"/>
        <v>0</v>
      </c>
      <c r="O54" s="476">
        <f t="shared" si="6"/>
        <v>0</v>
      </c>
      <c r="P54" s="241"/>
    </row>
    <row r="55" spans="2:16">
      <c r="B55" s="160" t="str">
        <f t="shared" si="3"/>
        <v/>
      </c>
      <c r="C55" s="470">
        <f>IF(D11="","-",+C54+1)</f>
        <v>2052</v>
      </c>
      <c r="D55" s="483">
        <f>IF(F54+SUM(E$17:E54)=D$10,F54,D$10-SUM(E$17:E54))</f>
        <v>294744.7899989055</v>
      </c>
      <c r="E55" s="482">
        <f t="shared" si="21"/>
        <v>133138.89578947367</v>
      </c>
      <c r="F55" s="483">
        <f t="shared" si="22"/>
        <v>161605.89420943183</v>
      </c>
      <c r="G55" s="484">
        <f t="shared" si="23"/>
        <v>151519.89578947367</v>
      </c>
      <c r="H55" s="453">
        <f t="shared" si="24"/>
        <v>151519.89578947367</v>
      </c>
      <c r="I55" s="473">
        <f t="shared" si="4"/>
        <v>0</v>
      </c>
      <c r="J55" s="473"/>
      <c r="K55" s="485"/>
      <c r="L55" s="476">
        <f t="shared" si="25"/>
        <v>0</v>
      </c>
      <c r="M55" s="485"/>
      <c r="N55" s="476">
        <f t="shared" si="5"/>
        <v>0</v>
      </c>
      <c r="O55" s="476">
        <f t="shared" si="6"/>
        <v>0</v>
      </c>
      <c r="P55" s="241"/>
    </row>
    <row r="56" spans="2:16">
      <c r="B56" s="160" t="str">
        <f t="shared" si="3"/>
        <v/>
      </c>
      <c r="C56" s="470">
        <f>IF(D11="","-",+C55+1)</f>
        <v>2053</v>
      </c>
      <c r="D56" s="483">
        <f>IF(F55+SUM(E$17:E55)=D$10,F55,D$10-SUM(E$17:E55))</f>
        <v>161605.89420943183</v>
      </c>
      <c r="E56" s="482">
        <f t="shared" si="21"/>
        <v>133138.89578947367</v>
      </c>
      <c r="F56" s="483">
        <f t="shared" si="22"/>
        <v>28466.998419958167</v>
      </c>
      <c r="G56" s="484">
        <f t="shared" si="23"/>
        <v>136376.89578947367</v>
      </c>
      <c r="H56" s="453">
        <f t="shared" si="24"/>
        <v>136376.89578947367</v>
      </c>
      <c r="I56" s="473">
        <f t="shared" si="4"/>
        <v>0</v>
      </c>
      <c r="J56" s="473"/>
      <c r="K56" s="485"/>
      <c r="L56" s="476">
        <f t="shared" si="25"/>
        <v>0</v>
      </c>
      <c r="M56" s="485"/>
      <c r="N56" s="476">
        <f t="shared" si="5"/>
        <v>0</v>
      </c>
      <c r="O56" s="476">
        <f t="shared" si="6"/>
        <v>0</v>
      </c>
      <c r="P56" s="241"/>
    </row>
    <row r="57" spans="2:16">
      <c r="B57" s="160" t="str">
        <f t="shared" si="3"/>
        <v/>
      </c>
      <c r="C57" s="470">
        <f>IF(D11="","-",+C56+1)</f>
        <v>2054</v>
      </c>
      <c r="D57" s="483">
        <f>IF(F56+SUM(E$17:E56)=D$10,F56,D$10-SUM(E$17:E56))</f>
        <v>28466.998419958167</v>
      </c>
      <c r="E57" s="482">
        <f t="shared" si="21"/>
        <v>28466.998419958167</v>
      </c>
      <c r="F57" s="483">
        <f t="shared" si="22"/>
        <v>0</v>
      </c>
      <c r="G57" s="484">
        <f t="shared" si="23"/>
        <v>28466.998419958167</v>
      </c>
      <c r="H57" s="453">
        <f t="shared" si="24"/>
        <v>28466.998419958167</v>
      </c>
      <c r="I57" s="473">
        <f t="shared" si="4"/>
        <v>0</v>
      </c>
      <c r="J57" s="473"/>
      <c r="K57" s="485"/>
      <c r="L57" s="476">
        <f t="shared" si="25"/>
        <v>0</v>
      </c>
      <c r="M57" s="485"/>
      <c r="N57" s="476">
        <f t="shared" si="5"/>
        <v>0</v>
      </c>
      <c r="O57" s="476">
        <f t="shared" si="6"/>
        <v>0</v>
      </c>
      <c r="P57" s="241"/>
    </row>
    <row r="58" spans="2:16">
      <c r="B58" s="160" t="str">
        <f t="shared" si="3"/>
        <v/>
      </c>
      <c r="C58" s="470">
        <f>IF(D11="","-",+C57+1)</f>
        <v>2055</v>
      </c>
      <c r="D58" s="483">
        <f>IF(F57+SUM(E$17:E57)=D$10,F57,D$10-SUM(E$17:E57))</f>
        <v>0</v>
      </c>
      <c r="E58" s="482">
        <f t="shared" si="21"/>
        <v>0</v>
      </c>
      <c r="F58" s="483">
        <f t="shared" si="22"/>
        <v>0</v>
      </c>
      <c r="G58" s="484">
        <f t="shared" si="23"/>
        <v>0</v>
      </c>
      <c r="H58" s="453">
        <f t="shared" si="24"/>
        <v>0</v>
      </c>
      <c r="I58" s="473">
        <f t="shared" si="4"/>
        <v>0</v>
      </c>
      <c r="J58" s="473"/>
      <c r="K58" s="485"/>
      <c r="L58" s="476">
        <f t="shared" si="25"/>
        <v>0</v>
      </c>
      <c r="M58" s="485"/>
      <c r="N58" s="476">
        <f t="shared" si="5"/>
        <v>0</v>
      </c>
      <c r="O58" s="476">
        <f t="shared" si="6"/>
        <v>0</v>
      </c>
      <c r="P58" s="241"/>
    </row>
    <row r="59" spans="2:16">
      <c r="B59" s="160" t="str">
        <f t="shared" si="3"/>
        <v/>
      </c>
      <c r="C59" s="470">
        <f>IF(D11="","-",+C58+1)</f>
        <v>2056</v>
      </c>
      <c r="D59" s="483">
        <f>IF(F58+SUM(E$17:E58)=D$10,F58,D$10-SUM(E$17:E58))</f>
        <v>0</v>
      </c>
      <c r="E59" s="482">
        <f t="shared" si="21"/>
        <v>0</v>
      </c>
      <c r="F59" s="483">
        <f t="shared" si="22"/>
        <v>0</v>
      </c>
      <c r="G59" s="484">
        <f t="shared" si="23"/>
        <v>0</v>
      </c>
      <c r="H59" s="453">
        <f t="shared" si="24"/>
        <v>0</v>
      </c>
      <c r="I59" s="473">
        <f t="shared" si="4"/>
        <v>0</v>
      </c>
      <c r="J59" s="473"/>
      <c r="K59" s="485"/>
      <c r="L59" s="476">
        <f t="shared" si="25"/>
        <v>0</v>
      </c>
      <c r="M59" s="485"/>
      <c r="N59" s="476">
        <f t="shared" si="5"/>
        <v>0</v>
      </c>
      <c r="O59" s="476">
        <f t="shared" si="6"/>
        <v>0</v>
      </c>
      <c r="P59" s="241"/>
    </row>
    <row r="60" spans="2:16">
      <c r="B60" s="160" t="str">
        <f t="shared" si="3"/>
        <v/>
      </c>
      <c r="C60" s="470">
        <f>IF(D11="","-",+C59+1)</f>
        <v>2057</v>
      </c>
      <c r="D60" s="483">
        <f>IF(F59+SUM(E$17:E59)=D$10,F59,D$10-SUM(E$17:E59))</f>
        <v>0</v>
      </c>
      <c r="E60" s="482">
        <f t="shared" si="21"/>
        <v>0</v>
      </c>
      <c r="F60" s="483">
        <f t="shared" si="22"/>
        <v>0</v>
      </c>
      <c r="G60" s="484">
        <f t="shared" si="23"/>
        <v>0</v>
      </c>
      <c r="H60" s="453">
        <f t="shared" si="24"/>
        <v>0</v>
      </c>
      <c r="I60" s="473">
        <f t="shared" si="4"/>
        <v>0</v>
      </c>
      <c r="J60" s="473"/>
      <c r="K60" s="485"/>
      <c r="L60" s="476">
        <f t="shared" si="25"/>
        <v>0</v>
      </c>
      <c r="M60" s="485"/>
      <c r="N60" s="476">
        <f t="shared" si="5"/>
        <v>0</v>
      </c>
      <c r="O60" s="476">
        <f t="shared" si="6"/>
        <v>0</v>
      </c>
      <c r="P60" s="241"/>
    </row>
    <row r="61" spans="2:16">
      <c r="B61" s="160" t="str">
        <f t="shared" si="3"/>
        <v/>
      </c>
      <c r="C61" s="470">
        <f>IF(D11="","-",+C60+1)</f>
        <v>2058</v>
      </c>
      <c r="D61" s="483">
        <f>IF(F60+SUM(E$17:E60)=D$10,F60,D$10-SUM(E$17:E60))</f>
        <v>0</v>
      </c>
      <c r="E61" s="482">
        <f t="shared" si="21"/>
        <v>0</v>
      </c>
      <c r="F61" s="483">
        <f t="shared" si="22"/>
        <v>0</v>
      </c>
      <c r="G61" s="484">
        <f t="shared" si="23"/>
        <v>0</v>
      </c>
      <c r="H61" s="453">
        <f t="shared" si="24"/>
        <v>0</v>
      </c>
      <c r="I61" s="473">
        <f t="shared" si="4"/>
        <v>0</v>
      </c>
      <c r="J61" s="473"/>
      <c r="K61" s="485"/>
      <c r="L61" s="476">
        <f t="shared" si="25"/>
        <v>0</v>
      </c>
      <c r="M61" s="485"/>
      <c r="N61" s="476">
        <f t="shared" si="5"/>
        <v>0</v>
      </c>
      <c r="O61" s="476">
        <f t="shared" si="6"/>
        <v>0</v>
      </c>
      <c r="P61" s="241"/>
    </row>
    <row r="62" spans="2:16">
      <c r="B62" s="160" t="str">
        <f t="shared" si="3"/>
        <v/>
      </c>
      <c r="C62" s="470">
        <f>IF(D11="","-",+C61+1)</f>
        <v>2059</v>
      </c>
      <c r="D62" s="483">
        <f>IF(F61+SUM(E$17:E61)=D$10,F61,D$10-SUM(E$17:E61))</f>
        <v>0</v>
      </c>
      <c r="E62" s="482">
        <f t="shared" si="21"/>
        <v>0</v>
      </c>
      <c r="F62" s="483">
        <f t="shared" si="22"/>
        <v>0</v>
      </c>
      <c r="G62" s="484">
        <f t="shared" si="23"/>
        <v>0</v>
      </c>
      <c r="H62" s="453">
        <f t="shared" si="24"/>
        <v>0</v>
      </c>
      <c r="I62" s="473">
        <f t="shared" si="4"/>
        <v>0</v>
      </c>
      <c r="J62" s="473"/>
      <c r="K62" s="485"/>
      <c r="L62" s="476">
        <f t="shared" si="25"/>
        <v>0</v>
      </c>
      <c r="M62" s="485"/>
      <c r="N62" s="476">
        <f t="shared" si="5"/>
        <v>0</v>
      </c>
      <c r="O62" s="476">
        <f t="shared" si="6"/>
        <v>0</v>
      </c>
      <c r="P62" s="241"/>
    </row>
    <row r="63" spans="2:16">
      <c r="B63" s="160" t="str">
        <f t="shared" si="3"/>
        <v/>
      </c>
      <c r="C63" s="470">
        <f>IF(D11="","-",+C62+1)</f>
        <v>2060</v>
      </c>
      <c r="D63" s="483">
        <f>IF(F62+SUM(E$17:E62)=D$10,F62,D$10-SUM(E$17:E62))</f>
        <v>0</v>
      </c>
      <c r="E63" s="482">
        <f t="shared" si="21"/>
        <v>0</v>
      </c>
      <c r="F63" s="483">
        <f t="shared" si="22"/>
        <v>0</v>
      </c>
      <c r="G63" s="484">
        <f t="shared" si="23"/>
        <v>0</v>
      </c>
      <c r="H63" s="453">
        <f t="shared" si="24"/>
        <v>0</v>
      </c>
      <c r="I63" s="473">
        <f t="shared" si="4"/>
        <v>0</v>
      </c>
      <c r="J63" s="473"/>
      <c r="K63" s="485"/>
      <c r="L63" s="476">
        <f t="shared" si="25"/>
        <v>0</v>
      </c>
      <c r="M63" s="485"/>
      <c r="N63" s="476">
        <f t="shared" si="5"/>
        <v>0</v>
      </c>
      <c r="O63" s="476">
        <f t="shared" si="6"/>
        <v>0</v>
      </c>
      <c r="P63" s="241"/>
    </row>
    <row r="64" spans="2:16">
      <c r="B64" s="160" t="str">
        <f t="shared" si="3"/>
        <v/>
      </c>
      <c r="C64" s="470">
        <f>IF(D11="","-",+C63+1)</f>
        <v>2061</v>
      </c>
      <c r="D64" s="483">
        <f>IF(F63+SUM(E$17:E63)=D$10,F63,D$10-SUM(E$17:E63))</f>
        <v>0</v>
      </c>
      <c r="E64" s="482">
        <f t="shared" si="21"/>
        <v>0</v>
      </c>
      <c r="F64" s="483">
        <f t="shared" si="22"/>
        <v>0</v>
      </c>
      <c r="G64" s="484">
        <f t="shared" si="23"/>
        <v>0</v>
      </c>
      <c r="H64" s="453">
        <f t="shared" si="24"/>
        <v>0</v>
      </c>
      <c r="I64" s="473">
        <f t="shared" si="4"/>
        <v>0</v>
      </c>
      <c r="J64" s="473"/>
      <c r="K64" s="485"/>
      <c r="L64" s="476">
        <f t="shared" si="25"/>
        <v>0</v>
      </c>
      <c r="M64" s="485"/>
      <c r="N64" s="476">
        <f t="shared" si="5"/>
        <v>0</v>
      </c>
      <c r="O64" s="476">
        <f t="shared" si="6"/>
        <v>0</v>
      </c>
      <c r="P64" s="241"/>
    </row>
    <row r="65" spans="2:16">
      <c r="B65" s="160" t="str">
        <f t="shared" si="3"/>
        <v/>
      </c>
      <c r="C65" s="470">
        <f>IF(D11="","-",+C64+1)</f>
        <v>2062</v>
      </c>
      <c r="D65" s="483">
        <f>IF(F64+SUM(E$17:E64)=D$10,F64,D$10-SUM(E$17:E64))</f>
        <v>0</v>
      </c>
      <c r="E65" s="482">
        <f t="shared" si="21"/>
        <v>0</v>
      </c>
      <c r="F65" s="483">
        <f t="shared" si="22"/>
        <v>0</v>
      </c>
      <c r="G65" s="484">
        <f t="shared" si="23"/>
        <v>0</v>
      </c>
      <c r="H65" s="453">
        <f t="shared" si="24"/>
        <v>0</v>
      </c>
      <c r="I65" s="473">
        <f t="shared" si="4"/>
        <v>0</v>
      </c>
      <c r="J65" s="473"/>
      <c r="K65" s="485"/>
      <c r="L65" s="476">
        <f t="shared" si="25"/>
        <v>0</v>
      </c>
      <c r="M65" s="485"/>
      <c r="N65" s="476">
        <f t="shared" si="5"/>
        <v>0</v>
      </c>
      <c r="O65" s="476">
        <f t="shared" si="6"/>
        <v>0</v>
      </c>
      <c r="P65" s="241"/>
    </row>
    <row r="66" spans="2:16">
      <c r="B66" s="160" t="str">
        <f t="shared" si="3"/>
        <v/>
      </c>
      <c r="C66" s="470">
        <f>IF(D11="","-",+C65+1)</f>
        <v>2063</v>
      </c>
      <c r="D66" s="483">
        <f>IF(F65+SUM(E$17:E65)=D$10,F65,D$10-SUM(E$17:E65))</f>
        <v>0</v>
      </c>
      <c r="E66" s="482">
        <f t="shared" si="21"/>
        <v>0</v>
      </c>
      <c r="F66" s="483">
        <f t="shared" si="22"/>
        <v>0</v>
      </c>
      <c r="G66" s="484">
        <f t="shared" si="23"/>
        <v>0</v>
      </c>
      <c r="H66" s="453">
        <f t="shared" si="24"/>
        <v>0</v>
      </c>
      <c r="I66" s="473">
        <f t="shared" si="4"/>
        <v>0</v>
      </c>
      <c r="J66" s="473"/>
      <c r="K66" s="485"/>
      <c r="L66" s="476">
        <f t="shared" si="25"/>
        <v>0</v>
      </c>
      <c r="M66" s="485"/>
      <c r="N66" s="476">
        <f t="shared" si="5"/>
        <v>0</v>
      </c>
      <c r="O66" s="476">
        <f t="shared" si="6"/>
        <v>0</v>
      </c>
      <c r="P66" s="241"/>
    </row>
    <row r="67" spans="2:16">
      <c r="B67" s="160" t="str">
        <f t="shared" si="3"/>
        <v/>
      </c>
      <c r="C67" s="470">
        <f>IF(D11="","-",+C66+1)</f>
        <v>2064</v>
      </c>
      <c r="D67" s="483">
        <f>IF(F66+SUM(E$17:E66)=D$10,F66,D$10-SUM(E$17:E66))</f>
        <v>0</v>
      </c>
      <c r="E67" s="482">
        <f t="shared" si="21"/>
        <v>0</v>
      </c>
      <c r="F67" s="483">
        <f t="shared" si="22"/>
        <v>0</v>
      </c>
      <c r="G67" s="484">
        <f t="shared" si="23"/>
        <v>0</v>
      </c>
      <c r="H67" s="453">
        <f t="shared" si="24"/>
        <v>0</v>
      </c>
      <c r="I67" s="473">
        <f t="shared" si="4"/>
        <v>0</v>
      </c>
      <c r="J67" s="473"/>
      <c r="K67" s="485"/>
      <c r="L67" s="476">
        <f t="shared" si="25"/>
        <v>0</v>
      </c>
      <c r="M67" s="485"/>
      <c r="N67" s="476">
        <f t="shared" si="5"/>
        <v>0</v>
      </c>
      <c r="O67" s="476">
        <f t="shared" si="6"/>
        <v>0</v>
      </c>
      <c r="P67" s="241"/>
    </row>
    <row r="68" spans="2:16">
      <c r="B68" s="160" t="str">
        <f t="shared" si="3"/>
        <v/>
      </c>
      <c r="C68" s="470">
        <f>IF(D11="","-",+C67+1)</f>
        <v>2065</v>
      </c>
      <c r="D68" s="483">
        <f>IF(F67+SUM(E$17:E67)=D$10,F67,D$10-SUM(E$17:E67))</f>
        <v>0</v>
      </c>
      <c r="E68" s="482">
        <f t="shared" si="21"/>
        <v>0</v>
      </c>
      <c r="F68" s="483">
        <f t="shared" si="22"/>
        <v>0</v>
      </c>
      <c r="G68" s="484">
        <f t="shared" si="23"/>
        <v>0</v>
      </c>
      <c r="H68" s="453">
        <f t="shared" si="24"/>
        <v>0</v>
      </c>
      <c r="I68" s="473">
        <f t="shared" si="4"/>
        <v>0</v>
      </c>
      <c r="J68" s="473"/>
      <c r="K68" s="485"/>
      <c r="L68" s="476">
        <f t="shared" si="25"/>
        <v>0</v>
      </c>
      <c r="M68" s="485"/>
      <c r="N68" s="476">
        <f t="shared" si="5"/>
        <v>0</v>
      </c>
      <c r="O68" s="476">
        <f t="shared" si="6"/>
        <v>0</v>
      </c>
      <c r="P68" s="241"/>
    </row>
    <row r="69" spans="2:16">
      <c r="B69" s="160" t="str">
        <f t="shared" si="3"/>
        <v/>
      </c>
      <c r="C69" s="470">
        <f>IF(D11="","-",+C68+1)</f>
        <v>2066</v>
      </c>
      <c r="D69" s="483">
        <f>IF(F68+SUM(E$17:E68)=D$10,F68,D$10-SUM(E$17:E68))</f>
        <v>0</v>
      </c>
      <c r="E69" s="482">
        <f t="shared" si="21"/>
        <v>0</v>
      </c>
      <c r="F69" s="483">
        <f t="shared" si="22"/>
        <v>0</v>
      </c>
      <c r="G69" s="484">
        <f t="shared" si="23"/>
        <v>0</v>
      </c>
      <c r="H69" s="453">
        <f t="shared" si="24"/>
        <v>0</v>
      </c>
      <c r="I69" s="473">
        <f t="shared" si="4"/>
        <v>0</v>
      </c>
      <c r="J69" s="473"/>
      <c r="K69" s="485"/>
      <c r="L69" s="476">
        <f t="shared" si="25"/>
        <v>0</v>
      </c>
      <c r="M69" s="485"/>
      <c r="N69" s="476">
        <f t="shared" si="5"/>
        <v>0</v>
      </c>
      <c r="O69" s="476">
        <f t="shared" si="6"/>
        <v>0</v>
      </c>
      <c r="P69" s="241"/>
    </row>
    <row r="70" spans="2:16">
      <c r="B70" s="160" t="str">
        <f t="shared" si="3"/>
        <v/>
      </c>
      <c r="C70" s="470">
        <f>IF(D11="","-",+C69+1)</f>
        <v>2067</v>
      </c>
      <c r="D70" s="483">
        <f>IF(F69+SUM(E$17:E69)=D$10,F69,D$10-SUM(E$17:E69))</f>
        <v>0</v>
      </c>
      <c r="E70" s="482">
        <f t="shared" si="21"/>
        <v>0</v>
      </c>
      <c r="F70" s="483">
        <f t="shared" si="22"/>
        <v>0</v>
      </c>
      <c r="G70" s="484">
        <f t="shared" si="23"/>
        <v>0</v>
      </c>
      <c r="H70" s="453">
        <f t="shared" si="24"/>
        <v>0</v>
      </c>
      <c r="I70" s="473">
        <f t="shared" si="4"/>
        <v>0</v>
      </c>
      <c r="J70" s="473"/>
      <c r="K70" s="485"/>
      <c r="L70" s="476">
        <f t="shared" si="25"/>
        <v>0</v>
      </c>
      <c r="M70" s="485"/>
      <c r="N70" s="476">
        <f t="shared" si="5"/>
        <v>0</v>
      </c>
      <c r="O70" s="476">
        <f t="shared" si="6"/>
        <v>0</v>
      </c>
      <c r="P70" s="241"/>
    </row>
    <row r="71" spans="2:16">
      <c r="B71" s="160" t="str">
        <f t="shared" si="3"/>
        <v/>
      </c>
      <c r="C71" s="470">
        <f>IF(D11="","-",+C70+1)</f>
        <v>2068</v>
      </c>
      <c r="D71" s="483">
        <f>IF(F70+SUM(E$17:E70)=D$10,F70,D$10-SUM(E$17:E70))</f>
        <v>0</v>
      </c>
      <c r="E71" s="482">
        <f t="shared" si="21"/>
        <v>0</v>
      </c>
      <c r="F71" s="483">
        <f t="shared" si="22"/>
        <v>0</v>
      </c>
      <c r="G71" s="484">
        <f t="shared" si="23"/>
        <v>0</v>
      </c>
      <c r="H71" s="453">
        <f t="shared" si="24"/>
        <v>0</v>
      </c>
      <c r="I71" s="473">
        <f t="shared" si="4"/>
        <v>0</v>
      </c>
      <c r="J71" s="473"/>
      <c r="K71" s="485"/>
      <c r="L71" s="476">
        <f t="shared" si="25"/>
        <v>0</v>
      </c>
      <c r="M71" s="485"/>
      <c r="N71" s="476">
        <f t="shared" si="5"/>
        <v>0</v>
      </c>
      <c r="O71" s="476">
        <f t="shared" si="6"/>
        <v>0</v>
      </c>
      <c r="P71" s="241"/>
    </row>
    <row r="72" spans="2:16" ht="13.5" thickBot="1">
      <c r="B72" s="160" t="str">
        <f t="shared" si="3"/>
        <v/>
      </c>
      <c r="C72" s="487">
        <f>IF(D11="","-",+C71+1)</f>
        <v>2069</v>
      </c>
      <c r="D72" s="483">
        <f>IF(F71+SUM(E$17:E71)=D$10,F71,D$10-SUM(E$17:E71))</f>
        <v>0</v>
      </c>
      <c r="E72" s="482">
        <f t="shared" si="21"/>
        <v>0</v>
      </c>
      <c r="F72" s="483">
        <f t="shared" si="22"/>
        <v>0</v>
      </c>
      <c r="G72" s="484">
        <f t="shared" si="23"/>
        <v>0</v>
      </c>
      <c r="H72" s="453">
        <f t="shared" si="24"/>
        <v>0</v>
      </c>
      <c r="I72" s="473">
        <f t="shared" si="4"/>
        <v>0</v>
      </c>
      <c r="J72" s="473"/>
      <c r="K72" s="492"/>
      <c r="L72" s="493">
        <f t="shared" si="25"/>
        <v>0</v>
      </c>
      <c r="M72" s="492"/>
      <c r="N72" s="493">
        <f t="shared" si="5"/>
        <v>0</v>
      </c>
      <c r="O72" s="493">
        <f t="shared" si="6"/>
        <v>0</v>
      </c>
      <c r="P72" s="241"/>
    </row>
    <row r="73" spans="2:16">
      <c r="C73" s="345" t="s">
        <v>77</v>
      </c>
      <c r="D73" s="346"/>
      <c r="E73" s="346">
        <f>SUM(E17:E72)</f>
        <v>5059278.0399999972</v>
      </c>
      <c r="F73" s="346"/>
      <c r="G73" s="346">
        <f>SUM(G17:G72)</f>
        <v>17377012.509398885</v>
      </c>
      <c r="H73" s="346">
        <f>SUM(H17:H72)</f>
        <v>17377012.509398885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16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568130</v>
      </c>
      <c r="N87" s="506">
        <f>IF(J92&lt;D11,0,VLOOKUP(J92,C17:O72,11))</f>
        <v>568130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591920.45938328374</v>
      </c>
      <c r="N88" s="510">
        <f>IF(J92&lt;D11,0,VLOOKUP(J92,C99:P154,7))</f>
        <v>591920.45938328374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Cornville Station Conversion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23790.459383283742</v>
      </c>
      <c r="N89" s="515">
        <f>+N88-N87</f>
        <v>23790.459383283742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TP2011093</v>
      </c>
      <c r="E91" s="520" t="str">
        <f>E9</f>
        <v xml:space="preserve">  SPP Project ID = 30346</v>
      </c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445">
        <v>5059278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f>IF(D11=I10,"",D11)</f>
        <v>2014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f>IF(D11=I10,"",D12)</f>
        <v>12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123397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2014</v>
      </c>
      <c r="D99" s="582">
        <v>0</v>
      </c>
      <c r="E99" s="583">
        <v>0</v>
      </c>
      <c r="F99" s="584">
        <v>4992922.66</v>
      </c>
      <c r="G99" s="603">
        <v>2496461.33</v>
      </c>
      <c r="H99" s="604">
        <v>350992.25806989282</v>
      </c>
      <c r="I99" s="605">
        <v>350992.25806989282</v>
      </c>
      <c r="J99" s="476">
        <v>0</v>
      </c>
      <c r="K99" s="476"/>
      <c r="L99" s="474">
        <f t="shared" ref="L99:L105" si="26">H99</f>
        <v>350992.25806989282</v>
      </c>
      <c r="M99" s="347">
        <f t="shared" ref="M99:M105" si="27">IF(L99&lt;&gt;0,+H99-L99,0)</f>
        <v>0</v>
      </c>
      <c r="N99" s="474">
        <f t="shared" ref="N99:N105" si="28">I99</f>
        <v>350992.25806989282</v>
      </c>
      <c r="O99" s="473">
        <f>IF(N99&lt;&gt;0,+I99-N99,0)</f>
        <v>0</v>
      </c>
      <c r="P99" s="476">
        <f>+O99-M99</f>
        <v>0</v>
      </c>
    </row>
    <row r="100" spans="1:16">
      <c r="B100" s="160" t="str">
        <f>IF(D100=F99,"","IU")</f>
        <v>IU</v>
      </c>
      <c r="C100" s="470">
        <f>IF(D93="","-",+C99+1)</f>
        <v>2015</v>
      </c>
      <c r="D100" s="582">
        <v>5071338</v>
      </c>
      <c r="E100" s="583">
        <v>97526</v>
      </c>
      <c r="F100" s="584">
        <v>4973812</v>
      </c>
      <c r="G100" s="584">
        <v>5022575</v>
      </c>
      <c r="H100" s="604">
        <v>782815.97525692882</v>
      </c>
      <c r="I100" s="605">
        <v>782815.97525692882</v>
      </c>
      <c r="J100" s="476">
        <f>+I100-H100</f>
        <v>0</v>
      </c>
      <c r="K100" s="476"/>
      <c r="L100" s="474">
        <f t="shared" si="26"/>
        <v>782815.97525692882</v>
      </c>
      <c r="M100" s="347">
        <f t="shared" si="27"/>
        <v>0</v>
      </c>
      <c r="N100" s="474">
        <f t="shared" si="28"/>
        <v>782815.97525692882</v>
      </c>
      <c r="O100" s="473">
        <f>IF(N100&lt;&gt;0,+I100-N100,0)</f>
        <v>0</v>
      </c>
      <c r="P100" s="476">
        <f>+O100-M100</f>
        <v>0</v>
      </c>
    </row>
    <row r="101" spans="1:16">
      <c r="B101" s="160" t="str">
        <f t="shared" ref="B101:B154" si="29">IF(D101=F100,"","IU")</f>
        <v>IU</v>
      </c>
      <c r="C101" s="470">
        <f>IF(D93="","-",+C100+1)</f>
        <v>2016</v>
      </c>
      <c r="D101" s="582">
        <v>4961752</v>
      </c>
      <c r="E101" s="583">
        <v>109984</v>
      </c>
      <c r="F101" s="584">
        <v>4851768</v>
      </c>
      <c r="G101" s="584">
        <v>4906760</v>
      </c>
      <c r="H101" s="604">
        <v>742542.63994670648</v>
      </c>
      <c r="I101" s="605">
        <v>742542.63994670648</v>
      </c>
      <c r="J101" s="476">
        <f t="shared" ref="J101:J154" si="30">+I101-H101</f>
        <v>0</v>
      </c>
      <c r="K101" s="476"/>
      <c r="L101" s="474">
        <f t="shared" si="26"/>
        <v>742542.63994670648</v>
      </c>
      <c r="M101" s="347">
        <f t="shared" si="27"/>
        <v>0</v>
      </c>
      <c r="N101" s="474">
        <f t="shared" si="28"/>
        <v>742542.63994670648</v>
      </c>
      <c r="O101" s="473">
        <f>IF(N101&lt;&gt;0,+I101-N101,0)</f>
        <v>0</v>
      </c>
      <c r="P101" s="476">
        <f>+O101-M101</f>
        <v>0</v>
      </c>
    </row>
    <row r="102" spans="1:16">
      <c r="B102" s="160" t="str">
        <f t="shared" si="29"/>
        <v/>
      </c>
      <c r="C102" s="470">
        <f>IF(D93="","-",+C101+1)</f>
        <v>2017</v>
      </c>
      <c r="D102" s="582">
        <v>4851768</v>
      </c>
      <c r="E102" s="583">
        <v>109984</v>
      </c>
      <c r="F102" s="584">
        <v>4741784</v>
      </c>
      <c r="G102" s="584">
        <v>4796776</v>
      </c>
      <c r="H102" s="604">
        <v>718467.13067498105</v>
      </c>
      <c r="I102" s="605">
        <v>718467.13067498105</v>
      </c>
      <c r="J102" s="476">
        <f t="shared" si="30"/>
        <v>0</v>
      </c>
      <c r="K102" s="476"/>
      <c r="L102" s="474">
        <f t="shared" si="26"/>
        <v>718467.13067498105</v>
      </c>
      <c r="M102" s="347">
        <f t="shared" si="27"/>
        <v>0</v>
      </c>
      <c r="N102" s="474">
        <f t="shared" si="28"/>
        <v>718467.13067498105</v>
      </c>
      <c r="O102" s="473">
        <f>IF(N102&lt;&gt;0,+I102-N102,0)</f>
        <v>0</v>
      </c>
      <c r="P102" s="476">
        <f>+O102-M102</f>
        <v>0</v>
      </c>
    </row>
    <row r="103" spans="1:16">
      <c r="B103" s="160" t="str">
        <f t="shared" si="29"/>
        <v/>
      </c>
      <c r="C103" s="470">
        <f>IF(D93="","-",+C102+1)</f>
        <v>2018</v>
      </c>
      <c r="D103" s="582">
        <v>4741784</v>
      </c>
      <c r="E103" s="583">
        <v>117658</v>
      </c>
      <c r="F103" s="584">
        <v>4624126</v>
      </c>
      <c r="G103" s="584">
        <v>4682955</v>
      </c>
      <c r="H103" s="604">
        <v>598764.03634994966</v>
      </c>
      <c r="I103" s="605">
        <v>598764.03634994966</v>
      </c>
      <c r="J103" s="476">
        <f t="shared" si="30"/>
        <v>0</v>
      </c>
      <c r="K103" s="476"/>
      <c r="L103" s="474">
        <f t="shared" si="26"/>
        <v>598764.03634994966</v>
      </c>
      <c r="M103" s="347">
        <f t="shared" si="27"/>
        <v>0</v>
      </c>
      <c r="N103" s="474">
        <f t="shared" si="28"/>
        <v>598764.03634994966</v>
      </c>
      <c r="O103" s="473">
        <f>IF(N103&lt;&gt;0,+I103-N103,0)</f>
        <v>0</v>
      </c>
      <c r="P103" s="476">
        <f>+O103-M103</f>
        <v>0</v>
      </c>
    </row>
    <row r="104" spans="1:16">
      <c r="B104" s="160" t="str">
        <f t="shared" si="29"/>
        <v/>
      </c>
      <c r="C104" s="470">
        <f>IF(D93="","-",+C103+1)</f>
        <v>2019</v>
      </c>
      <c r="D104" s="582">
        <v>4624126</v>
      </c>
      <c r="E104" s="583">
        <v>123397</v>
      </c>
      <c r="F104" s="584">
        <v>4500729</v>
      </c>
      <c r="G104" s="584">
        <v>4562427.5</v>
      </c>
      <c r="H104" s="604">
        <v>593847.268225985</v>
      </c>
      <c r="I104" s="605">
        <v>593847.268225985</v>
      </c>
      <c r="J104" s="476">
        <f t="shared" si="30"/>
        <v>0</v>
      </c>
      <c r="K104" s="476"/>
      <c r="L104" s="474">
        <f t="shared" si="26"/>
        <v>593847.268225985</v>
      </c>
      <c r="M104" s="347">
        <f t="shared" si="27"/>
        <v>0</v>
      </c>
      <c r="N104" s="474">
        <f t="shared" si="28"/>
        <v>593847.268225985</v>
      </c>
      <c r="O104" s="476">
        <f t="shared" ref="O104:O130" si="31">IF(N104&lt;&gt;0,+I104-N104,0)</f>
        <v>0</v>
      </c>
      <c r="P104" s="476">
        <f t="shared" ref="P104:P130" si="32">+O104-M104</f>
        <v>0</v>
      </c>
    </row>
    <row r="105" spans="1:16">
      <c r="B105" s="160" t="str">
        <f t="shared" si="29"/>
        <v/>
      </c>
      <c r="C105" s="470">
        <f>IF(D93="","-",+C104+1)</f>
        <v>2020</v>
      </c>
      <c r="D105" s="582">
        <v>4500729</v>
      </c>
      <c r="E105" s="583">
        <v>117658</v>
      </c>
      <c r="F105" s="584">
        <v>4383071</v>
      </c>
      <c r="G105" s="584">
        <v>4441900</v>
      </c>
      <c r="H105" s="604">
        <v>629796.85800289037</v>
      </c>
      <c r="I105" s="605">
        <v>629796.85800289037</v>
      </c>
      <c r="J105" s="476">
        <f t="shared" si="30"/>
        <v>0</v>
      </c>
      <c r="K105" s="476"/>
      <c r="L105" s="474">
        <f t="shared" si="26"/>
        <v>629796.85800289037</v>
      </c>
      <c r="M105" s="347">
        <f t="shared" si="27"/>
        <v>0</v>
      </c>
      <c r="N105" s="474">
        <f t="shared" si="28"/>
        <v>629796.85800289037</v>
      </c>
      <c r="O105" s="476">
        <f t="shared" si="31"/>
        <v>0</v>
      </c>
      <c r="P105" s="476">
        <f t="shared" si="32"/>
        <v>0</v>
      </c>
    </row>
    <row r="106" spans="1:16">
      <c r="B106" s="160" t="str">
        <f t="shared" si="29"/>
        <v/>
      </c>
      <c r="C106" s="470">
        <f>IF(D93="","-",+C105+1)</f>
        <v>2021</v>
      </c>
      <c r="D106" s="582">
        <v>4383071</v>
      </c>
      <c r="E106" s="583">
        <v>123397</v>
      </c>
      <c r="F106" s="584">
        <v>4259674</v>
      </c>
      <c r="G106" s="584">
        <v>4321372.5</v>
      </c>
      <c r="H106" s="604">
        <v>615138.04650435934</v>
      </c>
      <c r="I106" s="605">
        <v>615138.04650435934</v>
      </c>
      <c r="J106" s="476">
        <f t="shared" si="30"/>
        <v>0</v>
      </c>
      <c r="K106" s="476"/>
      <c r="L106" s="474">
        <f t="shared" ref="L106" si="33">H106</f>
        <v>615138.04650435934</v>
      </c>
      <c r="M106" s="347">
        <f t="shared" ref="M106" si="34">IF(L106&lt;&gt;0,+H106-L106,0)</f>
        <v>0</v>
      </c>
      <c r="N106" s="474">
        <f t="shared" ref="N106" si="35">I106</f>
        <v>615138.04650435934</v>
      </c>
      <c r="O106" s="476">
        <f t="shared" ref="O106" si="36">IF(N106&lt;&gt;0,+I106-N106,0)</f>
        <v>0</v>
      </c>
      <c r="P106" s="476">
        <f t="shared" ref="P106" si="37">+O106-M106</f>
        <v>0</v>
      </c>
    </row>
    <row r="107" spans="1:16">
      <c r="B107" s="160" t="str">
        <f t="shared" si="29"/>
        <v/>
      </c>
      <c r="C107" s="631">
        <f>IF(D93="","-",+C106+1)</f>
        <v>2022</v>
      </c>
      <c r="D107" s="345">
        <v>4259674</v>
      </c>
      <c r="E107" s="482">
        <v>129725</v>
      </c>
      <c r="F107" s="483">
        <v>4129949</v>
      </c>
      <c r="G107" s="483">
        <v>4194811.5</v>
      </c>
      <c r="H107" s="486">
        <v>591920.45938328374</v>
      </c>
      <c r="I107" s="540">
        <v>591920.45938328374</v>
      </c>
      <c r="J107" s="476">
        <f t="shared" si="30"/>
        <v>0</v>
      </c>
      <c r="K107" s="476"/>
      <c r="L107" s="485"/>
      <c r="M107" s="476">
        <f t="shared" ref="M107:M130" si="38">IF(L107&lt;&gt;0,+H107-L107,0)</f>
        <v>0</v>
      </c>
      <c r="N107" s="485"/>
      <c r="O107" s="476">
        <f t="shared" si="31"/>
        <v>0</v>
      </c>
      <c r="P107" s="476">
        <f t="shared" si="32"/>
        <v>0</v>
      </c>
    </row>
    <row r="108" spans="1:16">
      <c r="B108" s="160" t="str">
        <f t="shared" si="29"/>
        <v/>
      </c>
      <c r="C108" s="470">
        <f>IF(D93="","-",+C107+1)</f>
        <v>2023</v>
      </c>
      <c r="D108" s="345">
        <f>IF(F107+SUM(E$99:E107)=D$92,F107,D$92-SUM(E$99:E107))</f>
        <v>4129949</v>
      </c>
      <c r="E108" s="482">
        <f t="shared" ref="E108:E154" si="39">IF(+J$96&lt;F107,J$96,D108)</f>
        <v>123397</v>
      </c>
      <c r="F108" s="483">
        <f t="shared" ref="F108:F154" si="40">+D108-E108</f>
        <v>4006552</v>
      </c>
      <c r="G108" s="483">
        <f t="shared" ref="G108:G154" si="41">+(F108+D108)/2</f>
        <v>4068250.5</v>
      </c>
      <c r="H108" s="486">
        <f t="shared" ref="H108:H154" si="42">+J$94*G108+E108</f>
        <v>586334.58714664914</v>
      </c>
      <c r="I108" s="540">
        <f t="shared" ref="I108:I154" si="43">+J$95*G108+E108</f>
        <v>586334.58714664914</v>
      </c>
      <c r="J108" s="476">
        <f t="shared" si="30"/>
        <v>0</v>
      </c>
      <c r="K108" s="476"/>
      <c r="L108" s="485"/>
      <c r="M108" s="476">
        <f t="shared" si="38"/>
        <v>0</v>
      </c>
      <c r="N108" s="485"/>
      <c r="O108" s="476">
        <f t="shared" si="31"/>
        <v>0</v>
      </c>
      <c r="P108" s="476">
        <f t="shared" si="32"/>
        <v>0</v>
      </c>
    </row>
    <row r="109" spans="1:16">
      <c r="B109" s="160" t="str">
        <f t="shared" si="29"/>
        <v/>
      </c>
      <c r="C109" s="470">
        <f>IF(D93="","-",+C108+1)</f>
        <v>2024</v>
      </c>
      <c r="D109" s="345">
        <f>IF(F108+SUM(E$99:E108)=D$92,F108,D$92-SUM(E$99:E108))</f>
        <v>4006552</v>
      </c>
      <c r="E109" s="482">
        <f t="shared" si="39"/>
        <v>123397</v>
      </c>
      <c r="F109" s="483">
        <f t="shared" si="40"/>
        <v>3883155</v>
      </c>
      <c r="G109" s="483">
        <f t="shared" si="41"/>
        <v>3944853.5</v>
      </c>
      <c r="H109" s="486">
        <f t="shared" si="42"/>
        <v>572292.89786494558</v>
      </c>
      <c r="I109" s="540">
        <f t="shared" si="43"/>
        <v>572292.89786494558</v>
      </c>
      <c r="J109" s="476">
        <f t="shared" si="30"/>
        <v>0</v>
      </c>
      <c r="K109" s="476"/>
      <c r="L109" s="485"/>
      <c r="M109" s="476">
        <f t="shared" si="38"/>
        <v>0</v>
      </c>
      <c r="N109" s="485"/>
      <c r="O109" s="476">
        <f t="shared" si="31"/>
        <v>0</v>
      </c>
      <c r="P109" s="476">
        <f t="shared" si="32"/>
        <v>0</v>
      </c>
    </row>
    <row r="110" spans="1:16">
      <c r="B110" s="160" t="str">
        <f t="shared" si="29"/>
        <v/>
      </c>
      <c r="C110" s="470">
        <f>IF(D93="","-",+C109+1)</f>
        <v>2025</v>
      </c>
      <c r="D110" s="345">
        <f>IF(F109+SUM(E$99:E109)=D$92,F109,D$92-SUM(E$99:E109))</f>
        <v>3883155</v>
      </c>
      <c r="E110" s="482">
        <f t="shared" si="39"/>
        <v>123397</v>
      </c>
      <c r="F110" s="483">
        <f t="shared" si="40"/>
        <v>3759758</v>
      </c>
      <c r="G110" s="483">
        <f t="shared" si="41"/>
        <v>3821456.5</v>
      </c>
      <c r="H110" s="486">
        <f t="shared" si="42"/>
        <v>558251.20858324203</v>
      </c>
      <c r="I110" s="540">
        <f t="shared" si="43"/>
        <v>558251.20858324203</v>
      </c>
      <c r="J110" s="476">
        <f t="shared" si="30"/>
        <v>0</v>
      </c>
      <c r="K110" s="476"/>
      <c r="L110" s="485"/>
      <c r="M110" s="476">
        <f t="shared" si="38"/>
        <v>0</v>
      </c>
      <c r="N110" s="485"/>
      <c r="O110" s="476">
        <f t="shared" si="31"/>
        <v>0</v>
      </c>
      <c r="P110" s="476">
        <f t="shared" si="32"/>
        <v>0</v>
      </c>
    </row>
    <row r="111" spans="1:16">
      <c r="B111" s="160" t="str">
        <f t="shared" si="29"/>
        <v/>
      </c>
      <c r="C111" s="470">
        <f>IF(D93="","-",+C110+1)</f>
        <v>2026</v>
      </c>
      <c r="D111" s="345">
        <f>IF(F110+SUM(E$99:E110)=D$92,F110,D$92-SUM(E$99:E110))</f>
        <v>3759758</v>
      </c>
      <c r="E111" s="482">
        <f t="shared" si="39"/>
        <v>123397</v>
      </c>
      <c r="F111" s="483">
        <f t="shared" si="40"/>
        <v>3636361</v>
      </c>
      <c r="G111" s="483">
        <f t="shared" si="41"/>
        <v>3698059.5</v>
      </c>
      <c r="H111" s="486">
        <f t="shared" si="42"/>
        <v>544209.51930153859</v>
      </c>
      <c r="I111" s="540">
        <f t="shared" si="43"/>
        <v>544209.51930153859</v>
      </c>
      <c r="J111" s="476">
        <f t="shared" si="30"/>
        <v>0</v>
      </c>
      <c r="K111" s="476"/>
      <c r="L111" s="485"/>
      <c r="M111" s="476">
        <f t="shared" si="38"/>
        <v>0</v>
      </c>
      <c r="N111" s="485"/>
      <c r="O111" s="476">
        <f t="shared" si="31"/>
        <v>0</v>
      </c>
      <c r="P111" s="476">
        <f t="shared" si="32"/>
        <v>0</v>
      </c>
    </row>
    <row r="112" spans="1:16">
      <c r="B112" s="160" t="str">
        <f t="shared" si="29"/>
        <v/>
      </c>
      <c r="C112" s="470">
        <f>IF(D93="","-",+C111+1)</f>
        <v>2027</v>
      </c>
      <c r="D112" s="345">
        <f>IF(F111+SUM(E$99:E111)=D$92,F111,D$92-SUM(E$99:E111))</f>
        <v>3636361</v>
      </c>
      <c r="E112" s="482">
        <f t="shared" si="39"/>
        <v>123397</v>
      </c>
      <c r="F112" s="483">
        <f t="shared" si="40"/>
        <v>3512964</v>
      </c>
      <c r="G112" s="483">
        <f t="shared" si="41"/>
        <v>3574662.5</v>
      </c>
      <c r="H112" s="486">
        <f t="shared" si="42"/>
        <v>530167.83001983492</v>
      </c>
      <c r="I112" s="540">
        <f t="shared" si="43"/>
        <v>530167.83001983492</v>
      </c>
      <c r="J112" s="476">
        <f t="shared" si="30"/>
        <v>0</v>
      </c>
      <c r="K112" s="476"/>
      <c r="L112" s="485"/>
      <c r="M112" s="476">
        <f t="shared" si="38"/>
        <v>0</v>
      </c>
      <c r="N112" s="485"/>
      <c r="O112" s="476">
        <f t="shared" si="31"/>
        <v>0</v>
      </c>
      <c r="P112" s="476">
        <f t="shared" si="32"/>
        <v>0</v>
      </c>
    </row>
    <row r="113" spans="2:16">
      <c r="B113" s="160" t="str">
        <f t="shared" si="29"/>
        <v/>
      </c>
      <c r="C113" s="470">
        <f>IF(D93="","-",+C112+1)</f>
        <v>2028</v>
      </c>
      <c r="D113" s="345">
        <f>IF(F112+SUM(E$99:E112)=D$92,F112,D$92-SUM(E$99:E112))</f>
        <v>3512964</v>
      </c>
      <c r="E113" s="482">
        <f t="shared" si="39"/>
        <v>123397</v>
      </c>
      <c r="F113" s="483">
        <f t="shared" si="40"/>
        <v>3389567</v>
      </c>
      <c r="G113" s="483">
        <f t="shared" si="41"/>
        <v>3451265.5</v>
      </c>
      <c r="H113" s="486">
        <f t="shared" si="42"/>
        <v>516126.14073813148</v>
      </c>
      <c r="I113" s="540">
        <f t="shared" si="43"/>
        <v>516126.14073813148</v>
      </c>
      <c r="J113" s="476">
        <f t="shared" si="30"/>
        <v>0</v>
      </c>
      <c r="K113" s="476"/>
      <c r="L113" s="485"/>
      <c r="M113" s="476">
        <f t="shared" si="38"/>
        <v>0</v>
      </c>
      <c r="N113" s="485"/>
      <c r="O113" s="476">
        <f t="shared" si="31"/>
        <v>0</v>
      </c>
      <c r="P113" s="476">
        <f t="shared" si="32"/>
        <v>0</v>
      </c>
    </row>
    <row r="114" spans="2:16">
      <c r="B114" s="160" t="str">
        <f t="shared" si="29"/>
        <v/>
      </c>
      <c r="C114" s="470">
        <f>IF(D93="","-",+C113+1)</f>
        <v>2029</v>
      </c>
      <c r="D114" s="345">
        <f>IF(F113+SUM(E$99:E113)=D$92,F113,D$92-SUM(E$99:E113))</f>
        <v>3389567</v>
      </c>
      <c r="E114" s="482">
        <f t="shared" si="39"/>
        <v>123397</v>
      </c>
      <c r="F114" s="483">
        <f t="shared" si="40"/>
        <v>3266170</v>
      </c>
      <c r="G114" s="483">
        <f t="shared" si="41"/>
        <v>3327868.5</v>
      </c>
      <c r="H114" s="486">
        <f t="shared" si="42"/>
        <v>502084.45145642792</v>
      </c>
      <c r="I114" s="540">
        <f t="shared" si="43"/>
        <v>502084.45145642792</v>
      </c>
      <c r="J114" s="476">
        <f t="shared" si="30"/>
        <v>0</v>
      </c>
      <c r="K114" s="476"/>
      <c r="L114" s="485"/>
      <c r="M114" s="476">
        <f t="shared" si="38"/>
        <v>0</v>
      </c>
      <c r="N114" s="485"/>
      <c r="O114" s="476">
        <f t="shared" si="31"/>
        <v>0</v>
      </c>
      <c r="P114" s="476">
        <f t="shared" si="32"/>
        <v>0</v>
      </c>
    </row>
    <row r="115" spans="2:16">
      <c r="B115" s="160" t="str">
        <f t="shared" si="29"/>
        <v/>
      </c>
      <c r="C115" s="470">
        <f>IF(D93="","-",+C114+1)</f>
        <v>2030</v>
      </c>
      <c r="D115" s="345">
        <f>IF(F114+SUM(E$99:E114)=D$92,F114,D$92-SUM(E$99:E114))</f>
        <v>3266170</v>
      </c>
      <c r="E115" s="482">
        <f t="shared" si="39"/>
        <v>123397</v>
      </c>
      <c r="F115" s="483">
        <f t="shared" si="40"/>
        <v>3142773</v>
      </c>
      <c r="G115" s="483">
        <f t="shared" si="41"/>
        <v>3204471.5</v>
      </c>
      <c r="H115" s="486">
        <f t="shared" si="42"/>
        <v>488042.76217472437</v>
      </c>
      <c r="I115" s="540">
        <f t="shared" si="43"/>
        <v>488042.76217472437</v>
      </c>
      <c r="J115" s="476">
        <f t="shared" si="30"/>
        <v>0</v>
      </c>
      <c r="K115" s="476"/>
      <c r="L115" s="485"/>
      <c r="M115" s="476">
        <f t="shared" si="38"/>
        <v>0</v>
      </c>
      <c r="N115" s="485"/>
      <c r="O115" s="476">
        <f t="shared" si="31"/>
        <v>0</v>
      </c>
      <c r="P115" s="476">
        <f t="shared" si="32"/>
        <v>0</v>
      </c>
    </row>
    <row r="116" spans="2:16">
      <c r="B116" s="160" t="str">
        <f t="shared" si="29"/>
        <v/>
      </c>
      <c r="C116" s="470">
        <f>IF(D93="","-",+C115+1)</f>
        <v>2031</v>
      </c>
      <c r="D116" s="345">
        <f>IF(F115+SUM(E$99:E115)=D$92,F115,D$92-SUM(E$99:E115))</f>
        <v>3142773</v>
      </c>
      <c r="E116" s="482">
        <f t="shared" si="39"/>
        <v>123397</v>
      </c>
      <c r="F116" s="483">
        <f t="shared" si="40"/>
        <v>3019376</v>
      </c>
      <c r="G116" s="483">
        <f t="shared" si="41"/>
        <v>3081074.5</v>
      </c>
      <c r="H116" s="486">
        <f t="shared" si="42"/>
        <v>474001.07289302081</v>
      </c>
      <c r="I116" s="540">
        <f t="shared" si="43"/>
        <v>474001.07289302081</v>
      </c>
      <c r="J116" s="476">
        <f t="shared" si="30"/>
        <v>0</v>
      </c>
      <c r="K116" s="476"/>
      <c r="L116" s="485"/>
      <c r="M116" s="476">
        <f t="shared" si="38"/>
        <v>0</v>
      </c>
      <c r="N116" s="485"/>
      <c r="O116" s="476">
        <f t="shared" si="31"/>
        <v>0</v>
      </c>
      <c r="P116" s="476">
        <f t="shared" si="32"/>
        <v>0</v>
      </c>
    </row>
    <row r="117" spans="2:16">
      <c r="B117" s="160" t="str">
        <f t="shared" si="29"/>
        <v/>
      </c>
      <c r="C117" s="470">
        <f>IF(D93="","-",+C116+1)</f>
        <v>2032</v>
      </c>
      <c r="D117" s="345">
        <f>IF(F116+SUM(E$99:E116)=D$92,F116,D$92-SUM(E$99:E116))</f>
        <v>3019376</v>
      </c>
      <c r="E117" s="482">
        <f t="shared" si="39"/>
        <v>123397</v>
      </c>
      <c r="F117" s="483">
        <f t="shared" si="40"/>
        <v>2895979</v>
      </c>
      <c r="G117" s="483">
        <f t="shared" si="41"/>
        <v>2957677.5</v>
      </c>
      <c r="H117" s="486">
        <f t="shared" si="42"/>
        <v>459959.38361131732</v>
      </c>
      <c r="I117" s="540">
        <f t="shared" si="43"/>
        <v>459959.38361131732</v>
      </c>
      <c r="J117" s="476">
        <f t="shared" si="30"/>
        <v>0</v>
      </c>
      <c r="K117" s="476"/>
      <c r="L117" s="485"/>
      <c r="M117" s="476">
        <f t="shared" si="38"/>
        <v>0</v>
      </c>
      <c r="N117" s="485"/>
      <c r="O117" s="476">
        <f t="shared" si="31"/>
        <v>0</v>
      </c>
      <c r="P117" s="476">
        <f t="shared" si="32"/>
        <v>0</v>
      </c>
    </row>
    <row r="118" spans="2:16">
      <c r="B118" s="160" t="str">
        <f t="shared" si="29"/>
        <v/>
      </c>
      <c r="C118" s="470">
        <f>IF(D93="","-",+C117+1)</f>
        <v>2033</v>
      </c>
      <c r="D118" s="345">
        <f>IF(F117+SUM(E$99:E117)=D$92,F117,D$92-SUM(E$99:E117))</f>
        <v>2895979</v>
      </c>
      <c r="E118" s="482">
        <f t="shared" si="39"/>
        <v>123397</v>
      </c>
      <c r="F118" s="483">
        <f t="shared" si="40"/>
        <v>2772582</v>
      </c>
      <c r="G118" s="483">
        <f t="shared" si="41"/>
        <v>2834280.5</v>
      </c>
      <c r="H118" s="486">
        <f t="shared" si="42"/>
        <v>445917.69432961376</v>
      </c>
      <c r="I118" s="540">
        <f t="shared" si="43"/>
        <v>445917.69432961376</v>
      </c>
      <c r="J118" s="476">
        <f t="shared" si="30"/>
        <v>0</v>
      </c>
      <c r="K118" s="476"/>
      <c r="L118" s="485"/>
      <c r="M118" s="476">
        <f t="shared" si="38"/>
        <v>0</v>
      </c>
      <c r="N118" s="485"/>
      <c r="O118" s="476">
        <f t="shared" si="31"/>
        <v>0</v>
      </c>
      <c r="P118" s="476">
        <f t="shared" si="32"/>
        <v>0</v>
      </c>
    </row>
    <row r="119" spans="2:16">
      <c r="B119" s="160" t="str">
        <f t="shared" si="29"/>
        <v/>
      </c>
      <c r="C119" s="470">
        <f>IF(D93="","-",+C118+1)</f>
        <v>2034</v>
      </c>
      <c r="D119" s="345">
        <f>IF(F118+SUM(E$99:E118)=D$92,F118,D$92-SUM(E$99:E118))</f>
        <v>2772582</v>
      </c>
      <c r="E119" s="482">
        <f t="shared" si="39"/>
        <v>123397</v>
      </c>
      <c r="F119" s="483">
        <f t="shared" si="40"/>
        <v>2649185</v>
      </c>
      <c r="G119" s="483">
        <f t="shared" si="41"/>
        <v>2710883.5</v>
      </c>
      <c r="H119" s="486">
        <f t="shared" si="42"/>
        <v>431876.00504791021</v>
      </c>
      <c r="I119" s="540">
        <f t="shared" si="43"/>
        <v>431876.00504791021</v>
      </c>
      <c r="J119" s="476">
        <f t="shared" si="30"/>
        <v>0</v>
      </c>
      <c r="K119" s="476"/>
      <c r="L119" s="485"/>
      <c r="M119" s="476">
        <f t="shared" si="38"/>
        <v>0</v>
      </c>
      <c r="N119" s="485"/>
      <c r="O119" s="476">
        <f t="shared" si="31"/>
        <v>0</v>
      </c>
      <c r="P119" s="476">
        <f t="shared" si="32"/>
        <v>0</v>
      </c>
    </row>
    <row r="120" spans="2:16">
      <c r="B120" s="160" t="str">
        <f t="shared" si="29"/>
        <v/>
      </c>
      <c r="C120" s="470">
        <f>IF(D93="","-",+C119+1)</f>
        <v>2035</v>
      </c>
      <c r="D120" s="345">
        <f>IF(F119+SUM(E$99:E119)=D$92,F119,D$92-SUM(E$99:E119))</f>
        <v>2649185</v>
      </c>
      <c r="E120" s="482">
        <f t="shared" si="39"/>
        <v>123397</v>
      </c>
      <c r="F120" s="483">
        <f t="shared" si="40"/>
        <v>2525788</v>
      </c>
      <c r="G120" s="483">
        <f t="shared" si="41"/>
        <v>2587486.5</v>
      </c>
      <c r="H120" s="486">
        <f t="shared" si="42"/>
        <v>417834.31576620665</v>
      </c>
      <c r="I120" s="540">
        <f t="shared" si="43"/>
        <v>417834.31576620665</v>
      </c>
      <c r="J120" s="476">
        <f t="shared" si="30"/>
        <v>0</v>
      </c>
      <c r="K120" s="476"/>
      <c r="L120" s="485"/>
      <c r="M120" s="476">
        <f t="shared" si="38"/>
        <v>0</v>
      </c>
      <c r="N120" s="485"/>
      <c r="O120" s="476">
        <f t="shared" si="31"/>
        <v>0</v>
      </c>
      <c r="P120" s="476">
        <f t="shared" si="32"/>
        <v>0</v>
      </c>
    </row>
    <row r="121" spans="2:16">
      <c r="B121" s="160" t="str">
        <f t="shared" si="29"/>
        <v/>
      </c>
      <c r="C121" s="470">
        <f>IF(D93="","-",+C120+1)</f>
        <v>2036</v>
      </c>
      <c r="D121" s="345">
        <f>IF(F120+SUM(E$99:E120)=D$92,F120,D$92-SUM(E$99:E120))</f>
        <v>2525788</v>
      </c>
      <c r="E121" s="482">
        <f t="shared" si="39"/>
        <v>123397</v>
      </c>
      <c r="F121" s="483">
        <f t="shared" si="40"/>
        <v>2402391</v>
      </c>
      <c r="G121" s="483">
        <f t="shared" si="41"/>
        <v>2464089.5</v>
      </c>
      <c r="H121" s="486">
        <f t="shared" si="42"/>
        <v>403792.62648450315</v>
      </c>
      <c r="I121" s="540">
        <f t="shared" si="43"/>
        <v>403792.62648450315</v>
      </c>
      <c r="J121" s="476">
        <f t="shared" si="30"/>
        <v>0</v>
      </c>
      <c r="K121" s="476"/>
      <c r="L121" s="485"/>
      <c r="M121" s="476">
        <f t="shared" si="38"/>
        <v>0</v>
      </c>
      <c r="N121" s="485"/>
      <c r="O121" s="476">
        <f t="shared" si="31"/>
        <v>0</v>
      </c>
      <c r="P121" s="476">
        <f t="shared" si="32"/>
        <v>0</v>
      </c>
    </row>
    <row r="122" spans="2:16">
      <c r="B122" s="160" t="str">
        <f t="shared" si="29"/>
        <v/>
      </c>
      <c r="C122" s="470">
        <f>IF(D93="","-",+C121+1)</f>
        <v>2037</v>
      </c>
      <c r="D122" s="345">
        <f>IF(F121+SUM(E$99:E121)=D$92,F121,D$92-SUM(E$99:E121))</f>
        <v>2402391</v>
      </c>
      <c r="E122" s="482">
        <f t="shared" si="39"/>
        <v>123397</v>
      </c>
      <c r="F122" s="483">
        <f t="shared" si="40"/>
        <v>2278994</v>
      </c>
      <c r="G122" s="483">
        <f t="shared" si="41"/>
        <v>2340692.5</v>
      </c>
      <c r="H122" s="486">
        <f t="shared" si="42"/>
        <v>389750.9372027996</v>
      </c>
      <c r="I122" s="540">
        <f t="shared" si="43"/>
        <v>389750.9372027996</v>
      </c>
      <c r="J122" s="476">
        <f t="shared" si="30"/>
        <v>0</v>
      </c>
      <c r="K122" s="476"/>
      <c r="L122" s="485"/>
      <c r="M122" s="476">
        <f t="shared" si="38"/>
        <v>0</v>
      </c>
      <c r="N122" s="485"/>
      <c r="O122" s="476">
        <f t="shared" si="31"/>
        <v>0</v>
      </c>
      <c r="P122" s="476">
        <f t="shared" si="32"/>
        <v>0</v>
      </c>
    </row>
    <row r="123" spans="2:16">
      <c r="B123" s="160" t="str">
        <f t="shared" si="29"/>
        <v/>
      </c>
      <c r="C123" s="470">
        <f>IF(D93="","-",+C122+1)</f>
        <v>2038</v>
      </c>
      <c r="D123" s="345">
        <f>IF(F122+SUM(E$99:E122)=D$92,F122,D$92-SUM(E$99:E122))</f>
        <v>2278994</v>
      </c>
      <c r="E123" s="482">
        <f t="shared" si="39"/>
        <v>123397</v>
      </c>
      <c r="F123" s="483">
        <f t="shared" si="40"/>
        <v>2155597</v>
      </c>
      <c r="G123" s="483">
        <f t="shared" si="41"/>
        <v>2217295.5</v>
      </c>
      <c r="H123" s="486">
        <f t="shared" si="42"/>
        <v>375709.24792109604</v>
      </c>
      <c r="I123" s="540">
        <f t="shared" si="43"/>
        <v>375709.24792109604</v>
      </c>
      <c r="J123" s="476">
        <f t="shared" si="30"/>
        <v>0</v>
      </c>
      <c r="K123" s="476"/>
      <c r="L123" s="485"/>
      <c r="M123" s="476">
        <f t="shared" si="38"/>
        <v>0</v>
      </c>
      <c r="N123" s="485"/>
      <c r="O123" s="476">
        <f t="shared" si="31"/>
        <v>0</v>
      </c>
      <c r="P123" s="476">
        <f t="shared" si="32"/>
        <v>0</v>
      </c>
    </row>
    <row r="124" spans="2:16">
      <c r="B124" s="160" t="str">
        <f t="shared" si="29"/>
        <v/>
      </c>
      <c r="C124" s="470">
        <f>IF(D93="","-",+C123+1)</f>
        <v>2039</v>
      </c>
      <c r="D124" s="345">
        <f>IF(F123+SUM(E$99:E123)=D$92,F123,D$92-SUM(E$99:E123))</f>
        <v>2155597</v>
      </c>
      <c r="E124" s="482">
        <f t="shared" si="39"/>
        <v>123397</v>
      </c>
      <c r="F124" s="483">
        <f t="shared" si="40"/>
        <v>2032200</v>
      </c>
      <c r="G124" s="483">
        <f t="shared" si="41"/>
        <v>2093898.5</v>
      </c>
      <c r="H124" s="486">
        <f t="shared" si="42"/>
        <v>361667.55863939249</v>
      </c>
      <c r="I124" s="540">
        <f t="shared" si="43"/>
        <v>361667.55863939249</v>
      </c>
      <c r="J124" s="476">
        <f t="shared" si="30"/>
        <v>0</v>
      </c>
      <c r="K124" s="476"/>
      <c r="L124" s="485"/>
      <c r="M124" s="476">
        <f t="shared" si="38"/>
        <v>0</v>
      </c>
      <c r="N124" s="485"/>
      <c r="O124" s="476">
        <f t="shared" si="31"/>
        <v>0</v>
      </c>
      <c r="P124" s="476">
        <f t="shared" si="32"/>
        <v>0</v>
      </c>
    </row>
    <row r="125" spans="2:16">
      <c r="B125" s="160" t="str">
        <f t="shared" si="29"/>
        <v/>
      </c>
      <c r="C125" s="470">
        <f>IF(D93="","-",+C124+1)</f>
        <v>2040</v>
      </c>
      <c r="D125" s="345">
        <f>IF(F124+SUM(E$99:E124)=D$92,F124,D$92-SUM(E$99:E124))</f>
        <v>2032200</v>
      </c>
      <c r="E125" s="482">
        <f t="shared" si="39"/>
        <v>123397</v>
      </c>
      <c r="F125" s="483">
        <f t="shared" si="40"/>
        <v>1908803</v>
      </c>
      <c r="G125" s="483">
        <f t="shared" si="41"/>
        <v>1970501.5</v>
      </c>
      <c r="H125" s="486">
        <f t="shared" si="42"/>
        <v>347625.86935768899</v>
      </c>
      <c r="I125" s="540">
        <f t="shared" si="43"/>
        <v>347625.86935768899</v>
      </c>
      <c r="J125" s="476">
        <f t="shared" si="30"/>
        <v>0</v>
      </c>
      <c r="K125" s="476"/>
      <c r="L125" s="485"/>
      <c r="M125" s="476">
        <f t="shared" si="38"/>
        <v>0</v>
      </c>
      <c r="N125" s="485"/>
      <c r="O125" s="476">
        <f t="shared" si="31"/>
        <v>0</v>
      </c>
      <c r="P125" s="476">
        <f t="shared" si="32"/>
        <v>0</v>
      </c>
    </row>
    <row r="126" spans="2:16">
      <c r="B126" s="160" t="str">
        <f t="shared" si="29"/>
        <v/>
      </c>
      <c r="C126" s="470">
        <f>IF(D93="","-",+C125+1)</f>
        <v>2041</v>
      </c>
      <c r="D126" s="345">
        <f>IF(F125+SUM(E$99:E125)=D$92,F125,D$92-SUM(E$99:E125))</f>
        <v>1908803</v>
      </c>
      <c r="E126" s="482">
        <f t="shared" si="39"/>
        <v>123397</v>
      </c>
      <c r="F126" s="483">
        <f t="shared" si="40"/>
        <v>1785406</v>
      </c>
      <c r="G126" s="483">
        <f t="shared" si="41"/>
        <v>1847104.5</v>
      </c>
      <c r="H126" s="486">
        <f t="shared" si="42"/>
        <v>333584.18007598544</v>
      </c>
      <c r="I126" s="540">
        <f t="shared" si="43"/>
        <v>333584.18007598544</v>
      </c>
      <c r="J126" s="476">
        <f t="shared" si="30"/>
        <v>0</v>
      </c>
      <c r="K126" s="476"/>
      <c r="L126" s="485"/>
      <c r="M126" s="476">
        <f t="shared" si="38"/>
        <v>0</v>
      </c>
      <c r="N126" s="485"/>
      <c r="O126" s="476">
        <f t="shared" si="31"/>
        <v>0</v>
      </c>
      <c r="P126" s="476">
        <f t="shared" si="32"/>
        <v>0</v>
      </c>
    </row>
    <row r="127" spans="2:16">
      <c r="B127" s="160" t="str">
        <f t="shared" si="29"/>
        <v/>
      </c>
      <c r="C127" s="470">
        <f>IF(D93="","-",+C126+1)</f>
        <v>2042</v>
      </c>
      <c r="D127" s="345">
        <f>IF(F126+SUM(E$99:E126)=D$92,F126,D$92-SUM(E$99:E126))</f>
        <v>1785406</v>
      </c>
      <c r="E127" s="482">
        <f t="shared" si="39"/>
        <v>123397</v>
      </c>
      <c r="F127" s="483">
        <f t="shared" si="40"/>
        <v>1662009</v>
      </c>
      <c r="G127" s="483">
        <f t="shared" si="41"/>
        <v>1723707.5</v>
      </c>
      <c r="H127" s="486">
        <f t="shared" si="42"/>
        <v>319542.49079428194</v>
      </c>
      <c r="I127" s="540">
        <f t="shared" si="43"/>
        <v>319542.49079428194</v>
      </c>
      <c r="J127" s="476">
        <f t="shared" si="30"/>
        <v>0</v>
      </c>
      <c r="K127" s="476"/>
      <c r="L127" s="485"/>
      <c r="M127" s="476">
        <f t="shared" si="38"/>
        <v>0</v>
      </c>
      <c r="N127" s="485"/>
      <c r="O127" s="476">
        <f t="shared" si="31"/>
        <v>0</v>
      </c>
      <c r="P127" s="476">
        <f t="shared" si="32"/>
        <v>0</v>
      </c>
    </row>
    <row r="128" spans="2:16">
      <c r="B128" s="160" t="str">
        <f t="shared" si="29"/>
        <v/>
      </c>
      <c r="C128" s="470">
        <f>IF(D93="","-",+C127+1)</f>
        <v>2043</v>
      </c>
      <c r="D128" s="345">
        <f>IF(F127+SUM(E$99:E127)=D$92,F127,D$92-SUM(E$99:E127))</f>
        <v>1662009</v>
      </c>
      <c r="E128" s="482">
        <f t="shared" si="39"/>
        <v>123397</v>
      </c>
      <c r="F128" s="483">
        <f t="shared" si="40"/>
        <v>1538612</v>
      </c>
      <c r="G128" s="483">
        <f t="shared" si="41"/>
        <v>1600310.5</v>
      </c>
      <c r="H128" s="486">
        <f t="shared" si="42"/>
        <v>305500.80151257839</v>
      </c>
      <c r="I128" s="540">
        <f t="shared" si="43"/>
        <v>305500.80151257839</v>
      </c>
      <c r="J128" s="476">
        <f t="shared" si="30"/>
        <v>0</v>
      </c>
      <c r="K128" s="476"/>
      <c r="L128" s="485"/>
      <c r="M128" s="476">
        <f t="shared" si="38"/>
        <v>0</v>
      </c>
      <c r="N128" s="485"/>
      <c r="O128" s="476">
        <f t="shared" si="31"/>
        <v>0</v>
      </c>
      <c r="P128" s="476">
        <f t="shared" si="32"/>
        <v>0</v>
      </c>
    </row>
    <row r="129" spans="2:16">
      <c r="B129" s="160" t="str">
        <f t="shared" si="29"/>
        <v/>
      </c>
      <c r="C129" s="470">
        <f>IF(D93="","-",+C128+1)</f>
        <v>2044</v>
      </c>
      <c r="D129" s="345">
        <f>IF(F128+SUM(E$99:E128)=D$92,F128,D$92-SUM(E$99:E128))</f>
        <v>1538612</v>
      </c>
      <c r="E129" s="482">
        <f t="shared" si="39"/>
        <v>123397</v>
      </c>
      <c r="F129" s="483">
        <f t="shared" si="40"/>
        <v>1415215</v>
      </c>
      <c r="G129" s="483">
        <f t="shared" si="41"/>
        <v>1476913.5</v>
      </c>
      <c r="H129" s="486">
        <f t="shared" si="42"/>
        <v>291459.11223087483</v>
      </c>
      <c r="I129" s="540">
        <f t="shared" si="43"/>
        <v>291459.11223087483</v>
      </c>
      <c r="J129" s="476">
        <f t="shared" si="30"/>
        <v>0</v>
      </c>
      <c r="K129" s="476"/>
      <c r="L129" s="485"/>
      <c r="M129" s="476">
        <f t="shared" si="38"/>
        <v>0</v>
      </c>
      <c r="N129" s="485"/>
      <c r="O129" s="476">
        <f t="shared" si="31"/>
        <v>0</v>
      </c>
      <c r="P129" s="476">
        <f t="shared" si="32"/>
        <v>0</v>
      </c>
    </row>
    <row r="130" spans="2:16">
      <c r="B130" s="160" t="str">
        <f t="shared" si="29"/>
        <v/>
      </c>
      <c r="C130" s="470">
        <f>IF(D93="","-",+C129+1)</f>
        <v>2045</v>
      </c>
      <c r="D130" s="345">
        <f>IF(F129+SUM(E$99:E129)=D$92,F129,D$92-SUM(E$99:E129))</f>
        <v>1415215</v>
      </c>
      <c r="E130" s="482">
        <f t="shared" si="39"/>
        <v>123397</v>
      </c>
      <c r="F130" s="483">
        <f t="shared" si="40"/>
        <v>1291818</v>
      </c>
      <c r="G130" s="483">
        <f t="shared" si="41"/>
        <v>1353516.5</v>
      </c>
      <c r="H130" s="486">
        <f t="shared" si="42"/>
        <v>277417.42294917128</v>
      </c>
      <c r="I130" s="540">
        <f t="shared" si="43"/>
        <v>277417.42294917128</v>
      </c>
      <c r="J130" s="476">
        <f t="shared" si="30"/>
        <v>0</v>
      </c>
      <c r="K130" s="476"/>
      <c r="L130" s="485"/>
      <c r="M130" s="476">
        <f t="shared" si="38"/>
        <v>0</v>
      </c>
      <c r="N130" s="485"/>
      <c r="O130" s="476">
        <f t="shared" si="31"/>
        <v>0</v>
      </c>
      <c r="P130" s="476">
        <f t="shared" si="32"/>
        <v>0</v>
      </c>
    </row>
    <row r="131" spans="2:16">
      <c r="B131" s="160" t="str">
        <f t="shared" si="29"/>
        <v/>
      </c>
      <c r="C131" s="470">
        <f>IF(D93="","-",+C130+1)</f>
        <v>2046</v>
      </c>
      <c r="D131" s="345">
        <f>IF(F130+SUM(E$99:E130)=D$92,F130,D$92-SUM(E$99:E130))</f>
        <v>1291818</v>
      </c>
      <c r="E131" s="482">
        <f t="shared" si="39"/>
        <v>123397</v>
      </c>
      <c r="F131" s="483">
        <f t="shared" si="40"/>
        <v>1168421</v>
      </c>
      <c r="G131" s="483">
        <f t="shared" si="41"/>
        <v>1230119.5</v>
      </c>
      <c r="H131" s="486">
        <f t="shared" si="42"/>
        <v>263375.73366746772</v>
      </c>
      <c r="I131" s="540">
        <f t="shared" si="43"/>
        <v>263375.73366746772</v>
      </c>
      <c r="J131" s="476">
        <f t="shared" si="30"/>
        <v>0</v>
      </c>
      <c r="K131" s="476"/>
      <c r="L131" s="485"/>
      <c r="M131" s="476">
        <f t="shared" ref="M131:M154" si="44">IF(L541&lt;&gt;0,+H541-L541,0)</f>
        <v>0</v>
      </c>
      <c r="N131" s="485"/>
      <c r="O131" s="476">
        <f t="shared" ref="O131:O154" si="45">IF(N541&lt;&gt;0,+I541-N541,0)</f>
        <v>0</v>
      </c>
      <c r="P131" s="476">
        <f t="shared" ref="P131:P154" si="46">+O541-M541</f>
        <v>0</v>
      </c>
    </row>
    <row r="132" spans="2:16">
      <c r="B132" s="160" t="str">
        <f t="shared" si="29"/>
        <v/>
      </c>
      <c r="C132" s="470">
        <f>IF(D93="","-",+C131+1)</f>
        <v>2047</v>
      </c>
      <c r="D132" s="345">
        <f>IF(F131+SUM(E$99:E131)=D$92,F131,D$92-SUM(E$99:E131))</f>
        <v>1168421</v>
      </c>
      <c r="E132" s="482">
        <f t="shared" si="39"/>
        <v>123397</v>
      </c>
      <c r="F132" s="483">
        <f t="shared" si="40"/>
        <v>1045024</v>
      </c>
      <c r="G132" s="483">
        <f t="shared" si="41"/>
        <v>1106722.5</v>
      </c>
      <c r="H132" s="486">
        <f t="shared" si="42"/>
        <v>249334.04438576422</v>
      </c>
      <c r="I132" s="540">
        <f t="shared" si="43"/>
        <v>249334.04438576422</v>
      </c>
      <c r="J132" s="476">
        <f t="shared" si="30"/>
        <v>0</v>
      </c>
      <c r="K132" s="476"/>
      <c r="L132" s="485"/>
      <c r="M132" s="476">
        <f t="shared" si="44"/>
        <v>0</v>
      </c>
      <c r="N132" s="485"/>
      <c r="O132" s="476">
        <f t="shared" si="45"/>
        <v>0</v>
      </c>
      <c r="P132" s="476">
        <f t="shared" si="46"/>
        <v>0</v>
      </c>
    </row>
    <row r="133" spans="2:16">
      <c r="B133" s="160" t="str">
        <f t="shared" si="29"/>
        <v/>
      </c>
      <c r="C133" s="470">
        <f>IF(D93="","-",+C132+1)</f>
        <v>2048</v>
      </c>
      <c r="D133" s="345">
        <f>IF(F132+SUM(E$99:E132)=D$92,F132,D$92-SUM(E$99:E132))</f>
        <v>1045024</v>
      </c>
      <c r="E133" s="482">
        <f t="shared" si="39"/>
        <v>123397</v>
      </c>
      <c r="F133" s="483">
        <f t="shared" si="40"/>
        <v>921627</v>
      </c>
      <c r="G133" s="483">
        <f t="shared" si="41"/>
        <v>983325.5</v>
      </c>
      <c r="H133" s="486">
        <f t="shared" si="42"/>
        <v>235292.35510406067</v>
      </c>
      <c r="I133" s="540">
        <f t="shared" si="43"/>
        <v>235292.35510406067</v>
      </c>
      <c r="J133" s="476">
        <f t="shared" si="30"/>
        <v>0</v>
      </c>
      <c r="K133" s="476"/>
      <c r="L133" s="485"/>
      <c r="M133" s="476">
        <f t="shared" si="44"/>
        <v>0</v>
      </c>
      <c r="N133" s="485"/>
      <c r="O133" s="476">
        <f t="shared" si="45"/>
        <v>0</v>
      </c>
      <c r="P133" s="476">
        <f t="shared" si="46"/>
        <v>0</v>
      </c>
    </row>
    <row r="134" spans="2:16">
      <c r="B134" s="160" t="str">
        <f t="shared" si="29"/>
        <v/>
      </c>
      <c r="C134" s="470">
        <f>IF(D93="","-",+C133+1)</f>
        <v>2049</v>
      </c>
      <c r="D134" s="345">
        <f>IF(F133+SUM(E$99:E133)=D$92,F133,D$92-SUM(E$99:E133))</f>
        <v>921627</v>
      </c>
      <c r="E134" s="482">
        <f t="shared" si="39"/>
        <v>123397</v>
      </c>
      <c r="F134" s="483">
        <f t="shared" si="40"/>
        <v>798230</v>
      </c>
      <c r="G134" s="483">
        <f t="shared" si="41"/>
        <v>859928.5</v>
      </c>
      <c r="H134" s="486">
        <f t="shared" si="42"/>
        <v>221250.66582235711</v>
      </c>
      <c r="I134" s="540">
        <f t="shared" si="43"/>
        <v>221250.66582235711</v>
      </c>
      <c r="J134" s="476">
        <f t="shared" si="30"/>
        <v>0</v>
      </c>
      <c r="K134" s="476"/>
      <c r="L134" s="485"/>
      <c r="M134" s="476">
        <f t="shared" si="44"/>
        <v>0</v>
      </c>
      <c r="N134" s="485"/>
      <c r="O134" s="476">
        <f t="shared" si="45"/>
        <v>0</v>
      </c>
      <c r="P134" s="476">
        <f t="shared" si="46"/>
        <v>0</v>
      </c>
    </row>
    <row r="135" spans="2:16">
      <c r="B135" s="160" t="str">
        <f t="shared" si="29"/>
        <v/>
      </c>
      <c r="C135" s="470">
        <f>IF(D93="","-",+C134+1)</f>
        <v>2050</v>
      </c>
      <c r="D135" s="345">
        <f>IF(F134+SUM(E$99:E134)=D$92,F134,D$92-SUM(E$99:E134))</f>
        <v>798230</v>
      </c>
      <c r="E135" s="482">
        <f t="shared" si="39"/>
        <v>123397</v>
      </c>
      <c r="F135" s="483">
        <f t="shared" si="40"/>
        <v>674833</v>
      </c>
      <c r="G135" s="483">
        <f t="shared" si="41"/>
        <v>736531.5</v>
      </c>
      <c r="H135" s="486">
        <f t="shared" si="42"/>
        <v>207208.97654065359</v>
      </c>
      <c r="I135" s="540">
        <f t="shared" si="43"/>
        <v>207208.97654065359</v>
      </c>
      <c r="J135" s="476">
        <f t="shared" si="30"/>
        <v>0</v>
      </c>
      <c r="K135" s="476"/>
      <c r="L135" s="485"/>
      <c r="M135" s="476">
        <f t="shared" si="44"/>
        <v>0</v>
      </c>
      <c r="N135" s="485"/>
      <c r="O135" s="476">
        <f t="shared" si="45"/>
        <v>0</v>
      </c>
      <c r="P135" s="476">
        <f t="shared" si="46"/>
        <v>0</v>
      </c>
    </row>
    <row r="136" spans="2:16">
      <c r="B136" s="160" t="str">
        <f t="shared" si="29"/>
        <v/>
      </c>
      <c r="C136" s="470">
        <f>IF(D93="","-",+C135+1)</f>
        <v>2051</v>
      </c>
      <c r="D136" s="345">
        <f>IF(F135+SUM(E$99:E135)=D$92,F135,D$92-SUM(E$99:E135))</f>
        <v>674833</v>
      </c>
      <c r="E136" s="482">
        <f t="shared" si="39"/>
        <v>123397</v>
      </c>
      <c r="F136" s="483">
        <f t="shared" si="40"/>
        <v>551436</v>
      </c>
      <c r="G136" s="483">
        <f t="shared" si="41"/>
        <v>613134.5</v>
      </c>
      <c r="H136" s="486">
        <f t="shared" si="42"/>
        <v>193167.28725895006</v>
      </c>
      <c r="I136" s="540">
        <f t="shared" si="43"/>
        <v>193167.28725895006</v>
      </c>
      <c r="J136" s="476">
        <f t="shared" si="30"/>
        <v>0</v>
      </c>
      <c r="K136" s="476"/>
      <c r="L136" s="485"/>
      <c r="M136" s="476">
        <f t="shared" si="44"/>
        <v>0</v>
      </c>
      <c r="N136" s="485"/>
      <c r="O136" s="476">
        <f t="shared" si="45"/>
        <v>0</v>
      </c>
      <c r="P136" s="476">
        <f t="shared" si="46"/>
        <v>0</v>
      </c>
    </row>
    <row r="137" spans="2:16">
      <c r="B137" s="160" t="str">
        <f t="shared" si="29"/>
        <v/>
      </c>
      <c r="C137" s="470">
        <f>IF(D93="","-",+C136+1)</f>
        <v>2052</v>
      </c>
      <c r="D137" s="345">
        <f>IF(F136+SUM(E$99:E136)=D$92,F136,D$92-SUM(E$99:E136))</f>
        <v>551436</v>
      </c>
      <c r="E137" s="482">
        <f t="shared" si="39"/>
        <v>123397</v>
      </c>
      <c r="F137" s="483">
        <f t="shared" si="40"/>
        <v>428039</v>
      </c>
      <c r="G137" s="483">
        <f t="shared" si="41"/>
        <v>489737.5</v>
      </c>
      <c r="H137" s="486">
        <f t="shared" si="42"/>
        <v>179125.59797724651</v>
      </c>
      <c r="I137" s="540">
        <f t="shared" si="43"/>
        <v>179125.59797724651</v>
      </c>
      <c r="J137" s="476">
        <f t="shared" si="30"/>
        <v>0</v>
      </c>
      <c r="K137" s="476"/>
      <c r="L137" s="485"/>
      <c r="M137" s="476">
        <f t="shared" si="44"/>
        <v>0</v>
      </c>
      <c r="N137" s="485"/>
      <c r="O137" s="476">
        <f t="shared" si="45"/>
        <v>0</v>
      </c>
      <c r="P137" s="476">
        <f t="shared" si="46"/>
        <v>0</v>
      </c>
    </row>
    <row r="138" spans="2:16">
      <c r="B138" s="160" t="str">
        <f t="shared" si="29"/>
        <v/>
      </c>
      <c r="C138" s="470">
        <f>IF(D93="","-",+C137+1)</f>
        <v>2053</v>
      </c>
      <c r="D138" s="345">
        <f>IF(F137+SUM(E$99:E137)=D$92,F137,D$92-SUM(E$99:E137))</f>
        <v>428039</v>
      </c>
      <c r="E138" s="482">
        <f t="shared" si="39"/>
        <v>123397</v>
      </c>
      <c r="F138" s="483">
        <f t="shared" si="40"/>
        <v>304642</v>
      </c>
      <c r="G138" s="483">
        <f t="shared" si="41"/>
        <v>366340.5</v>
      </c>
      <c r="H138" s="486">
        <f t="shared" si="42"/>
        <v>165083.90869554295</v>
      </c>
      <c r="I138" s="540">
        <f t="shared" si="43"/>
        <v>165083.90869554295</v>
      </c>
      <c r="J138" s="476">
        <f t="shared" si="30"/>
        <v>0</v>
      </c>
      <c r="K138" s="476"/>
      <c r="L138" s="485"/>
      <c r="M138" s="476">
        <f t="shared" si="44"/>
        <v>0</v>
      </c>
      <c r="N138" s="485"/>
      <c r="O138" s="476">
        <f t="shared" si="45"/>
        <v>0</v>
      </c>
      <c r="P138" s="476">
        <f t="shared" si="46"/>
        <v>0</v>
      </c>
    </row>
    <row r="139" spans="2:16">
      <c r="B139" s="160" t="str">
        <f t="shared" si="29"/>
        <v/>
      </c>
      <c r="C139" s="470">
        <f>IF(D93="","-",+C138+1)</f>
        <v>2054</v>
      </c>
      <c r="D139" s="345">
        <f>IF(F138+SUM(E$99:E138)=D$92,F138,D$92-SUM(E$99:E138))</f>
        <v>304642</v>
      </c>
      <c r="E139" s="482">
        <f t="shared" si="39"/>
        <v>123397</v>
      </c>
      <c r="F139" s="483">
        <f t="shared" si="40"/>
        <v>181245</v>
      </c>
      <c r="G139" s="483">
        <f t="shared" si="41"/>
        <v>242943.5</v>
      </c>
      <c r="H139" s="486">
        <f t="shared" si="42"/>
        <v>151042.21941383943</v>
      </c>
      <c r="I139" s="540">
        <f t="shared" si="43"/>
        <v>151042.21941383943</v>
      </c>
      <c r="J139" s="476">
        <f t="shared" si="30"/>
        <v>0</v>
      </c>
      <c r="K139" s="476"/>
      <c r="L139" s="485"/>
      <c r="M139" s="476">
        <f t="shared" si="44"/>
        <v>0</v>
      </c>
      <c r="N139" s="485"/>
      <c r="O139" s="476">
        <f t="shared" si="45"/>
        <v>0</v>
      </c>
      <c r="P139" s="476">
        <f t="shared" si="46"/>
        <v>0</v>
      </c>
    </row>
    <row r="140" spans="2:16">
      <c r="B140" s="160" t="str">
        <f t="shared" si="29"/>
        <v/>
      </c>
      <c r="C140" s="470">
        <f>IF(D93="","-",+C139+1)</f>
        <v>2055</v>
      </c>
      <c r="D140" s="345">
        <f>IF(F139+SUM(E$99:E139)=D$92,F139,D$92-SUM(E$99:E139))</f>
        <v>181245</v>
      </c>
      <c r="E140" s="482">
        <f t="shared" si="39"/>
        <v>123397</v>
      </c>
      <c r="F140" s="483">
        <f t="shared" si="40"/>
        <v>57848</v>
      </c>
      <c r="G140" s="483">
        <f t="shared" si="41"/>
        <v>119546.5</v>
      </c>
      <c r="H140" s="486">
        <f t="shared" si="42"/>
        <v>137000.5301321359</v>
      </c>
      <c r="I140" s="540">
        <f t="shared" si="43"/>
        <v>137000.5301321359</v>
      </c>
      <c r="J140" s="476">
        <f t="shared" si="30"/>
        <v>0</v>
      </c>
      <c r="K140" s="476"/>
      <c r="L140" s="485"/>
      <c r="M140" s="476">
        <f t="shared" si="44"/>
        <v>0</v>
      </c>
      <c r="N140" s="485"/>
      <c r="O140" s="476">
        <f t="shared" si="45"/>
        <v>0</v>
      </c>
      <c r="P140" s="476">
        <f t="shared" si="46"/>
        <v>0</v>
      </c>
    </row>
    <row r="141" spans="2:16">
      <c r="B141" s="160" t="str">
        <f t="shared" si="29"/>
        <v/>
      </c>
      <c r="C141" s="470">
        <f>IF(D93="","-",+C140+1)</f>
        <v>2056</v>
      </c>
      <c r="D141" s="345">
        <f>IF(F140+SUM(E$99:E140)=D$92,F140,D$92-SUM(E$99:E140))</f>
        <v>57848</v>
      </c>
      <c r="E141" s="482">
        <f t="shared" si="39"/>
        <v>57848</v>
      </c>
      <c r="F141" s="483">
        <f t="shared" si="40"/>
        <v>0</v>
      </c>
      <c r="G141" s="483">
        <f t="shared" si="41"/>
        <v>28924</v>
      </c>
      <c r="H141" s="486">
        <f t="shared" si="42"/>
        <v>61139.342745642061</v>
      </c>
      <c r="I141" s="540">
        <f t="shared" si="43"/>
        <v>61139.342745642061</v>
      </c>
      <c r="J141" s="476">
        <f t="shared" si="30"/>
        <v>0</v>
      </c>
      <c r="K141" s="476"/>
      <c r="L141" s="485"/>
      <c r="M141" s="476">
        <f t="shared" si="44"/>
        <v>0</v>
      </c>
      <c r="N141" s="485"/>
      <c r="O141" s="476">
        <f t="shared" si="45"/>
        <v>0</v>
      </c>
      <c r="P141" s="476">
        <f t="shared" si="46"/>
        <v>0</v>
      </c>
    </row>
    <row r="142" spans="2:16">
      <c r="B142" s="160" t="str">
        <f t="shared" si="29"/>
        <v/>
      </c>
      <c r="C142" s="470">
        <f>IF(D93="","-",+C141+1)</f>
        <v>2057</v>
      </c>
      <c r="D142" s="345">
        <f>IF(F141+SUM(E$99:E141)=D$92,F141,D$92-SUM(E$99:E141))</f>
        <v>0</v>
      </c>
      <c r="E142" s="482">
        <f t="shared" si="39"/>
        <v>0</v>
      </c>
      <c r="F142" s="483">
        <f t="shared" si="40"/>
        <v>0</v>
      </c>
      <c r="G142" s="483">
        <f t="shared" si="41"/>
        <v>0</v>
      </c>
      <c r="H142" s="486">
        <f t="shared" si="42"/>
        <v>0</v>
      </c>
      <c r="I142" s="540">
        <f t="shared" si="43"/>
        <v>0</v>
      </c>
      <c r="J142" s="476">
        <f t="shared" si="30"/>
        <v>0</v>
      </c>
      <c r="K142" s="476"/>
      <c r="L142" s="485"/>
      <c r="M142" s="476">
        <f t="shared" si="44"/>
        <v>0</v>
      </c>
      <c r="N142" s="485"/>
      <c r="O142" s="476">
        <f t="shared" si="45"/>
        <v>0</v>
      </c>
      <c r="P142" s="476">
        <f t="shared" si="46"/>
        <v>0</v>
      </c>
    </row>
    <row r="143" spans="2:16">
      <c r="B143" s="160" t="str">
        <f t="shared" si="29"/>
        <v/>
      </c>
      <c r="C143" s="470">
        <f>IF(D93="","-",+C142+1)</f>
        <v>2058</v>
      </c>
      <c r="D143" s="345">
        <f>IF(F142+SUM(E$99:E142)=D$92,F142,D$92-SUM(E$99:E142))</f>
        <v>0</v>
      </c>
      <c r="E143" s="482">
        <f t="shared" si="39"/>
        <v>0</v>
      </c>
      <c r="F143" s="483">
        <f t="shared" si="40"/>
        <v>0</v>
      </c>
      <c r="G143" s="483">
        <f t="shared" si="41"/>
        <v>0</v>
      </c>
      <c r="H143" s="486">
        <f t="shared" si="42"/>
        <v>0</v>
      </c>
      <c r="I143" s="540">
        <f t="shared" si="43"/>
        <v>0</v>
      </c>
      <c r="J143" s="476">
        <f t="shared" si="30"/>
        <v>0</v>
      </c>
      <c r="K143" s="476"/>
      <c r="L143" s="485"/>
      <c r="M143" s="476">
        <f t="shared" si="44"/>
        <v>0</v>
      </c>
      <c r="N143" s="485"/>
      <c r="O143" s="476">
        <f t="shared" si="45"/>
        <v>0</v>
      </c>
      <c r="P143" s="476">
        <f t="shared" si="46"/>
        <v>0</v>
      </c>
    </row>
    <row r="144" spans="2:16">
      <c r="B144" s="160" t="str">
        <f t="shared" si="29"/>
        <v/>
      </c>
      <c r="C144" s="470">
        <f>IF(D93="","-",+C143+1)</f>
        <v>2059</v>
      </c>
      <c r="D144" s="345">
        <f>IF(F143+SUM(E$99:E143)=D$92,F143,D$92-SUM(E$99:E143))</f>
        <v>0</v>
      </c>
      <c r="E144" s="482">
        <f t="shared" si="39"/>
        <v>0</v>
      </c>
      <c r="F144" s="483">
        <f t="shared" si="40"/>
        <v>0</v>
      </c>
      <c r="G144" s="483">
        <f t="shared" si="41"/>
        <v>0</v>
      </c>
      <c r="H144" s="486">
        <f t="shared" si="42"/>
        <v>0</v>
      </c>
      <c r="I144" s="540">
        <f t="shared" si="43"/>
        <v>0</v>
      </c>
      <c r="J144" s="476">
        <f t="shared" si="30"/>
        <v>0</v>
      </c>
      <c r="K144" s="476"/>
      <c r="L144" s="485"/>
      <c r="M144" s="476">
        <f t="shared" si="44"/>
        <v>0</v>
      </c>
      <c r="N144" s="485"/>
      <c r="O144" s="476">
        <f t="shared" si="45"/>
        <v>0</v>
      </c>
      <c r="P144" s="476">
        <f t="shared" si="46"/>
        <v>0</v>
      </c>
    </row>
    <row r="145" spans="2:16">
      <c r="B145" s="160" t="str">
        <f t="shared" si="29"/>
        <v/>
      </c>
      <c r="C145" s="470">
        <f>IF(D93="","-",+C144+1)</f>
        <v>2060</v>
      </c>
      <c r="D145" s="345">
        <f>IF(F144+SUM(E$99:E144)=D$92,F144,D$92-SUM(E$99:E144))</f>
        <v>0</v>
      </c>
      <c r="E145" s="482">
        <f t="shared" si="39"/>
        <v>0</v>
      </c>
      <c r="F145" s="483">
        <f t="shared" si="40"/>
        <v>0</v>
      </c>
      <c r="G145" s="483">
        <f t="shared" si="41"/>
        <v>0</v>
      </c>
      <c r="H145" s="486">
        <f t="shared" si="42"/>
        <v>0</v>
      </c>
      <c r="I145" s="540">
        <f t="shared" si="43"/>
        <v>0</v>
      </c>
      <c r="J145" s="476">
        <f t="shared" si="30"/>
        <v>0</v>
      </c>
      <c r="K145" s="476"/>
      <c r="L145" s="485"/>
      <c r="M145" s="476">
        <f t="shared" si="44"/>
        <v>0</v>
      </c>
      <c r="N145" s="485"/>
      <c r="O145" s="476">
        <f t="shared" si="45"/>
        <v>0</v>
      </c>
      <c r="P145" s="476">
        <f t="shared" si="46"/>
        <v>0</v>
      </c>
    </row>
    <row r="146" spans="2:16">
      <c r="B146" s="160" t="str">
        <f t="shared" si="29"/>
        <v/>
      </c>
      <c r="C146" s="470">
        <f>IF(D93="","-",+C145+1)</f>
        <v>2061</v>
      </c>
      <c r="D146" s="345">
        <f>IF(F145+SUM(E$99:E145)=D$92,F145,D$92-SUM(E$99:E145))</f>
        <v>0</v>
      </c>
      <c r="E146" s="482">
        <f t="shared" si="39"/>
        <v>0</v>
      </c>
      <c r="F146" s="483">
        <f t="shared" si="40"/>
        <v>0</v>
      </c>
      <c r="G146" s="483">
        <f t="shared" si="41"/>
        <v>0</v>
      </c>
      <c r="H146" s="486">
        <f t="shared" si="42"/>
        <v>0</v>
      </c>
      <c r="I146" s="540">
        <f t="shared" si="43"/>
        <v>0</v>
      </c>
      <c r="J146" s="476">
        <f t="shared" si="30"/>
        <v>0</v>
      </c>
      <c r="K146" s="476"/>
      <c r="L146" s="485"/>
      <c r="M146" s="476">
        <f t="shared" si="44"/>
        <v>0</v>
      </c>
      <c r="N146" s="485"/>
      <c r="O146" s="476">
        <f t="shared" si="45"/>
        <v>0</v>
      </c>
      <c r="P146" s="476">
        <f t="shared" si="46"/>
        <v>0</v>
      </c>
    </row>
    <row r="147" spans="2:16">
      <c r="B147" s="160" t="str">
        <f t="shared" si="29"/>
        <v/>
      </c>
      <c r="C147" s="470">
        <f>IF(D93="","-",+C146+1)</f>
        <v>2062</v>
      </c>
      <c r="D147" s="345">
        <f>IF(F146+SUM(E$99:E146)=D$92,F146,D$92-SUM(E$99:E146))</f>
        <v>0</v>
      </c>
      <c r="E147" s="482">
        <f t="shared" si="39"/>
        <v>0</v>
      </c>
      <c r="F147" s="483">
        <f t="shared" si="40"/>
        <v>0</v>
      </c>
      <c r="G147" s="483">
        <f t="shared" si="41"/>
        <v>0</v>
      </c>
      <c r="H147" s="486">
        <f t="shared" si="42"/>
        <v>0</v>
      </c>
      <c r="I147" s="540">
        <f t="shared" si="43"/>
        <v>0</v>
      </c>
      <c r="J147" s="476">
        <f t="shared" si="30"/>
        <v>0</v>
      </c>
      <c r="K147" s="476"/>
      <c r="L147" s="485"/>
      <c r="M147" s="476">
        <f t="shared" si="44"/>
        <v>0</v>
      </c>
      <c r="N147" s="485"/>
      <c r="O147" s="476">
        <f t="shared" si="45"/>
        <v>0</v>
      </c>
      <c r="P147" s="476">
        <f t="shared" si="46"/>
        <v>0</v>
      </c>
    </row>
    <row r="148" spans="2:16">
      <c r="B148" s="160" t="str">
        <f t="shared" si="29"/>
        <v/>
      </c>
      <c r="C148" s="470">
        <f>IF(D93="","-",+C147+1)</f>
        <v>2063</v>
      </c>
      <c r="D148" s="345">
        <f>IF(F147+SUM(E$99:E147)=D$92,F147,D$92-SUM(E$99:E147))</f>
        <v>0</v>
      </c>
      <c r="E148" s="482">
        <f t="shared" si="39"/>
        <v>0</v>
      </c>
      <c r="F148" s="483">
        <f t="shared" si="40"/>
        <v>0</v>
      </c>
      <c r="G148" s="483">
        <f t="shared" si="41"/>
        <v>0</v>
      </c>
      <c r="H148" s="486">
        <f t="shared" si="42"/>
        <v>0</v>
      </c>
      <c r="I148" s="540">
        <f t="shared" si="43"/>
        <v>0</v>
      </c>
      <c r="J148" s="476">
        <f t="shared" si="30"/>
        <v>0</v>
      </c>
      <c r="K148" s="476"/>
      <c r="L148" s="485"/>
      <c r="M148" s="476">
        <f t="shared" si="44"/>
        <v>0</v>
      </c>
      <c r="N148" s="485"/>
      <c r="O148" s="476">
        <f t="shared" si="45"/>
        <v>0</v>
      </c>
      <c r="P148" s="476">
        <f t="shared" si="46"/>
        <v>0</v>
      </c>
    </row>
    <row r="149" spans="2:16">
      <c r="B149" s="160" t="str">
        <f t="shared" si="29"/>
        <v/>
      </c>
      <c r="C149" s="470">
        <f>IF(D93="","-",+C148+1)</f>
        <v>2064</v>
      </c>
      <c r="D149" s="345">
        <f>IF(F148+SUM(E$99:E148)=D$92,F148,D$92-SUM(E$99:E148))</f>
        <v>0</v>
      </c>
      <c r="E149" s="482">
        <f t="shared" si="39"/>
        <v>0</v>
      </c>
      <c r="F149" s="483">
        <f t="shared" si="40"/>
        <v>0</v>
      </c>
      <c r="G149" s="483">
        <f t="shared" si="41"/>
        <v>0</v>
      </c>
      <c r="H149" s="486">
        <f t="shared" si="42"/>
        <v>0</v>
      </c>
      <c r="I149" s="540">
        <f t="shared" si="43"/>
        <v>0</v>
      </c>
      <c r="J149" s="476">
        <f t="shared" si="30"/>
        <v>0</v>
      </c>
      <c r="K149" s="476"/>
      <c r="L149" s="485"/>
      <c r="M149" s="476">
        <f t="shared" si="44"/>
        <v>0</v>
      </c>
      <c r="N149" s="485"/>
      <c r="O149" s="476">
        <f t="shared" si="45"/>
        <v>0</v>
      </c>
      <c r="P149" s="476">
        <f t="shared" si="46"/>
        <v>0</v>
      </c>
    </row>
    <row r="150" spans="2:16">
      <c r="B150" s="160" t="str">
        <f t="shared" si="29"/>
        <v/>
      </c>
      <c r="C150" s="470">
        <f>IF(D93="","-",+C149+1)</f>
        <v>2065</v>
      </c>
      <c r="D150" s="345">
        <f>IF(F149+SUM(E$99:E149)=D$92,F149,D$92-SUM(E$99:E149))</f>
        <v>0</v>
      </c>
      <c r="E150" s="482">
        <f t="shared" si="39"/>
        <v>0</v>
      </c>
      <c r="F150" s="483">
        <f t="shared" si="40"/>
        <v>0</v>
      </c>
      <c r="G150" s="483">
        <f t="shared" si="41"/>
        <v>0</v>
      </c>
      <c r="H150" s="486">
        <f t="shared" si="42"/>
        <v>0</v>
      </c>
      <c r="I150" s="540">
        <f t="shared" si="43"/>
        <v>0</v>
      </c>
      <c r="J150" s="476">
        <f t="shared" si="30"/>
        <v>0</v>
      </c>
      <c r="K150" s="476"/>
      <c r="L150" s="485"/>
      <c r="M150" s="476">
        <f t="shared" si="44"/>
        <v>0</v>
      </c>
      <c r="N150" s="485"/>
      <c r="O150" s="476">
        <f t="shared" si="45"/>
        <v>0</v>
      </c>
      <c r="P150" s="476">
        <f t="shared" si="46"/>
        <v>0</v>
      </c>
    </row>
    <row r="151" spans="2:16">
      <c r="B151" s="160" t="str">
        <f t="shared" si="29"/>
        <v/>
      </c>
      <c r="C151" s="470">
        <f>IF(D93="","-",+C150+1)</f>
        <v>2066</v>
      </c>
      <c r="D151" s="345">
        <f>IF(F150+SUM(E$99:E150)=D$92,F150,D$92-SUM(E$99:E150))</f>
        <v>0</v>
      </c>
      <c r="E151" s="482">
        <f t="shared" si="39"/>
        <v>0</v>
      </c>
      <c r="F151" s="483">
        <f t="shared" si="40"/>
        <v>0</v>
      </c>
      <c r="G151" s="483">
        <f t="shared" si="41"/>
        <v>0</v>
      </c>
      <c r="H151" s="486">
        <f t="shared" si="42"/>
        <v>0</v>
      </c>
      <c r="I151" s="540">
        <f t="shared" si="43"/>
        <v>0</v>
      </c>
      <c r="J151" s="476">
        <f t="shared" si="30"/>
        <v>0</v>
      </c>
      <c r="K151" s="476"/>
      <c r="L151" s="485"/>
      <c r="M151" s="476">
        <f t="shared" si="44"/>
        <v>0</v>
      </c>
      <c r="N151" s="485"/>
      <c r="O151" s="476">
        <f t="shared" si="45"/>
        <v>0</v>
      </c>
      <c r="P151" s="476">
        <f t="shared" si="46"/>
        <v>0</v>
      </c>
    </row>
    <row r="152" spans="2:16">
      <c r="B152" s="160" t="str">
        <f t="shared" si="29"/>
        <v/>
      </c>
      <c r="C152" s="470">
        <f>IF(D93="","-",+C151+1)</f>
        <v>2067</v>
      </c>
      <c r="D152" s="345">
        <f>IF(F151+SUM(E$99:E151)=D$92,F151,D$92-SUM(E$99:E151))</f>
        <v>0</v>
      </c>
      <c r="E152" s="482">
        <f t="shared" si="39"/>
        <v>0</v>
      </c>
      <c r="F152" s="483">
        <f t="shared" si="40"/>
        <v>0</v>
      </c>
      <c r="G152" s="483">
        <f t="shared" si="41"/>
        <v>0</v>
      </c>
      <c r="H152" s="486">
        <f t="shared" si="42"/>
        <v>0</v>
      </c>
      <c r="I152" s="540">
        <f t="shared" si="43"/>
        <v>0</v>
      </c>
      <c r="J152" s="476">
        <f t="shared" si="30"/>
        <v>0</v>
      </c>
      <c r="K152" s="476"/>
      <c r="L152" s="485"/>
      <c r="M152" s="476">
        <f t="shared" si="44"/>
        <v>0</v>
      </c>
      <c r="N152" s="485"/>
      <c r="O152" s="476">
        <f t="shared" si="45"/>
        <v>0</v>
      </c>
      <c r="P152" s="476">
        <f t="shared" si="46"/>
        <v>0</v>
      </c>
    </row>
    <row r="153" spans="2:16">
      <c r="B153" s="160" t="str">
        <f t="shared" si="29"/>
        <v/>
      </c>
      <c r="C153" s="470">
        <f>IF(D93="","-",+C152+1)</f>
        <v>2068</v>
      </c>
      <c r="D153" s="345">
        <f>IF(F152+SUM(E$99:E152)=D$92,F152,D$92-SUM(E$99:E152))</f>
        <v>0</v>
      </c>
      <c r="E153" s="482">
        <f t="shared" si="39"/>
        <v>0</v>
      </c>
      <c r="F153" s="483">
        <f t="shared" si="40"/>
        <v>0</v>
      </c>
      <c r="G153" s="483">
        <f t="shared" si="41"/>
        <v>0</v>
      </c>
      <c r="H153" s="486">
        <f t="shared" si="42"/>
        <v>0</v>
      </c>
      <c r="I153" s="540">
        <f t="shared" si="43"/>
        <v>0</v>
      </c>
      <c r="J153" s="476">
        <f t="shared" si="30"/>
        <v>0</v>
      </c>
      <c r="K153" s="476"/>
      <c r="L153" s="485"/>
      <c r="M153" s="476">
        <f t="shared" si="44"/>
        <v>0</v>
      </c>
      <c r="N153" s="485"/>
      <c r="O153" s="476">
        <f t="shared" si="45"/>
        <v>0</v>
      </c>
      <c r="P153" s="476">
        <f t="shared" si="46"/>
        <v>0</v>
      </c>
    </row>
    <row r="154" spans="2:16" ht="13.5" thickBot="1">
      <c r="B154" s="160" t="str">
        <f t="shared" si="29"/>
        <v/>
      </c>
      <c r="C154" s="487">
        <f>IF(D93="","-",+C153+1)</f>
        <v>2069</v>
      </c>
      <c r="D154" s="345">
        <f>IF(F153+SUM(E$99:E153)=D$92,F153,D$92-SUM(E$99:E153))</f>
        <v>0</v>
      </c>
      <c r="E154" s="482">
        <f t="shared" si="39"/>
        <v>0</v>
      </c>
      <c r="F154" s="483">
        <f t="shared" si="40"/>
        <v>0</v>
      </c>
      <c r="G154" s="483">
        <f t="shared" si="41"/>
        <v>0</v>
      </c>
      <c r="H154" s="486">
        <f t="shared" si="42"/>
        <v>0</v>
      </c>
      <c r="I154" s="540">
        <f t="shared" si="43"/>
        <v>0</v>
      </c>
      <c r="J154" s="476">
        <f t="shared" si="30"/>
        <v>0</v>
      </c>
      <c r="K154" s="476"/>
      <c r="L154" s="492"/>
      <c r="M154" s="493">
        <f t="shared" si="44"/>
        <v>0</v>
      </c>
      <c r="N154" s="492"/>
      <c r="O154" s="493">
        <f t="shared" si="45"/>
        <v>0</v>
      </c>
      <c r="P154" s="493">
        <f t="shared" si="46"/>
        <v>0</v>
      </c>
    </row>
    <row r="155" spans="2:16">
      <c r="C155" s="345" t="s">
        <v>77</v>
      </c>
      <c r="D155" s="346"/>
      <c r="E155" s="346">
        <f>SUM(E99:E154)</f>
        <v>5059278</v>
      </c>
      <c r="F155" s="346"/>
      <c r="G155" s="346"/>
      <c r="H155" s="346">
        <f>SUM(H99:H154)</f>
        <v>17620453.450260572</v>
      </c>
      <c r="I155" s="346">
        <f>SUM(I99:I154)</f>
        <v>17620453.450260572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37" priority="1" stopIfTrue="1" operator="equal">
      <formula>$I$10</formula>
    </cfRule>
  </conditionalFormatting>
  <conditionalFormatting sqref="C99:C154">
    <cfRule type="cellIs" dxfId="36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8"/>
  <dimension ref="A1:S137"/>
  <sheetViews>
    <sheetView topLeftCell="K97" zoomScaleNormal="100" zoomScaleSheetLayoutView="80" workbookViewId="0">
      <selection activeCell="V52" sqref="V5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16.140625" style="148" customWidth="1"/>
    <col min="10" max="10" width="2.1406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3.5703125" style="148" bestFit="1" customWidth="1"/>
    <col min="17" max="17" width="4.7109375" style="148" customWidth="1"/>
    <col min="18" max="18" width="15.42578125" style="148" customWidth="1"/>
    <col min="19" max="19" width="81.85546875" style="148" bestFit="1" customWidth="1"/>
    <col min="20" max="22" width="8.7109375" style="148"/>
    <col min="23" max="23" width="9.140625" style="148" customWidth="1"/>
    <col min="24" max="16384" width="8.7109375" style="148"/>
  </cols>
  <sheetData>
    <row r="1" spans="1:18" ht="18">
      <c r="A1" s="661" t="s">
        <v>123</v>
      </c>
      <c r="B1" s="662"/>
      <c r="C1" s="662"/>
      <c r="D1" s="662"/>
      <c r="E1" s="662"/>
      <c r="F1" s="662"/>
      <c r="G1" s="662"/>
      <c r="H1" s="662"/>
      <c r="I1" s="662"/>
      <c r="J1" s="662"/>
    </row>
    <row r="2" spans="1:18" ht="18">
      <c r="A2" s="663" t="str">
        <f>L19+1&amp;" Cost of Service Formula Rate Projected on "&amp;L19&amp;" FF1 Balances"</f>
        <v>2025 Cost of Service Formula Rate Projected on 2024 FF1 Balances</v>
      </c>
      <c r="B2" s="663"/>
      <c r="C2" s="663"/>
      <c r="D2" s="663"/>
      <c r="E2" s="663"/>
      <c r="F2" s="663"/>
      <c r="G2" s="663"/>
      <c r="H2" s="663"/>
      <c r="I2" s="663"/>
      <c r="J2" s="663"/>
    </row>
    <row r="3" spans="1:18" ht="18">
      <c r="A3" s="664" t="s">
        <v>140</v>
      </c>
      <c r="B3" s="663"/>
      <c r="C3" s="663"/>
      <c r="D3" s="663"/>
      <c r="E3" s="663"/>
      <c r="F3" s="663"/>
      <c r="G3" s="663"/>
      <c r="H3" s="663"/>
      <c r="I3" s="663"/>
      <c r="J3" s="663"/>
      <c r="Q3" s="238" t="s">
        <v>125</v>
      </c>
    </row>
    <row r="4" spans="1:18" ht="18">
      <c r="A4" s="663" t="str">
        <f>"Based on a Carrying Charge Derived from ""Historic"" "&amp;L19&amp;" Data"</f>
        <v>Based on a Carrying Charge Derived from "Historic" 2024 Data</v>
      </c>
      <c r="B4" s="663"/>
      <c r="C4" s="663"/>
      <c r="D4" s="663"/>
      <c r="E4" s="663"/>
      <c r="F4" s="663"/>
      <c r="G4" s="663"/>
      <c r="H4" s="663"/>
      <c r="I4" s="663"/>
      <c r="J4" s="663"/>
    </row>
    <row r="5" spans="1:18" ht="18">
      <c r="A5" s="665" t="s">
        <v>124</v>
      </c>
      <c r="B5" s="665"/>
      <c r="C5" s="665"/>
      <c r="D5" s="665"/>
      <c r="E5" s="665"/>
      <c r="F5" s="665"/>
      <c r="G5" s="665"/>
      <c r="H5" s="665"/>
      <c r="I5" s="665"/>
      <c r="J5" s="665"/>
    </row>
    <row r="6" spans="1:18">
      <c r="A6" s="231"/>
      <c r="B6" s="231"/>
      <c r="C6" s="231"/>
      <c r="D6" s="239"/>
      <c r="E6" s="231"/>
      <c r="F6" s="231"/>
      <c r="G6" s="231"/>
      <c r="H6" s="240"/>
      <c r="I6" s="231"/>
      <c r="J6" s="241"/>
    </row>
    <row r="7" spans="1:18">
      <c r="D7" s="160"/>
      <c r="H7" s="215"/>
      <c r="J7" s="194"/>
    </row>
    <row r="8" spans="1:18" ht="38.25" customHeight="1">
      <c r="B8" s="242" t="s">
        <v>0</v>
      </c>
      <c r="C8" s="657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658"/>
      <c r="E8" s="658"/>
      <c r="F8" s="658"/>
      <c r="G8" s="658"/>
      <c r="H8" s="658"/>
      <c r="J8" s="194"/>
      <c r="R8" s="233"/>
    </row>
    <row r="9" spans="1:18">
      <c r="D9" s="160"/>
      <c r="H9" s="215"/>
      <c r="J9" s="194"/>
    </row>
    <row r="10" spans="1:18" ht="15.75">
      <c r="C10" s="243" t="str">
        <f>"A.   Determine 'R' with hypothetical "&amp;F13&amp;" basis point increase in ROE for Identified Projects"</f>
        <v>A.   Determine 'R' with hypothetical 0 basis point increase in ROE for Identified Projects</v>
      </c>
      <c r="D10" s="160"/>
      <c r="H10" s="215"/>
      <c r="J10" s="194"/>
      <c r="K10" s="244"/>
      <c r="L10" s="245"/>
    </row>
    <row r="11" spans="1:18">
      <c r="D11" s="160"/>
      <c r="H11" s="215"/>
      <c r="J11" s="194"/>
    </row>
    <row r="12" spans="1:18">
      <c r="C12" s="246" t="str">
        <f>S105</f>
        <v xml:space="preserve">   ROE w/o incentives  (TCOS, ln 143)</v>
      </c>
      <c r="D12" s="160"/>
      <c r="E12" s="247"/>
      <c r="F12" s="248">
        <v>0.105</v>
      </c>
      <c r="G12" s="249"/>
      <c r="H12" s="250"/>
      <c r="I12" s="251"/>
      <c r="J12" s="252"/>
      <c r="K12" s="251"/>
      <c r="L12" s="251"/>
      <c r="M12" s="251"/>
      <c r="N12" s="251"/>
      <c r="O12" s="247"/>
      <c r="P12" s="251"/>
      <c r="Q12" s="231"/>
    </row>
    <row r="13" spans="1:18">
      <c r="C13" s="246" t="s">
        <v>1</v>
      </c>
      <c r="D13" s="160"/>
      <c r="E13" s="247"/>
      <c r="F13" s="253">
        <f>+R106</f>
        <v>0</v>
      </c>
      <c r="G13" s="148" t="s">
        <v>152</v>
      </c>
      <c r="K13" s="251"/>
      <c r="L13" s="251"/>
      <c r="M13" s="251"/>
      <c r="N13" s="251"/>
      <c r="O13" s="247"/>
      <c r="P13" s="251"/>
      <c r="Q13" s="231"/>
    </row>
    <row r="14" spans="1:18" ht="13.5" thickBot="1">
      <c r="C14" s="246" t="str">
        <f>"   ROE with additional "&amp;F13&amp;" basis point incentive"</f>
        <v xml:space="preserve">   ROE with additional 0 basis point incentive</v>
      </c>
      <c r="D14" s="247"/>
      <c r="E14" s="247"/>
      <c r="F14" s="254">
        <f>IF((F12+(F13/10000)&gt;0.1245),"ERROR",F12+(F13/10000))</f>
        <v>0.105</v>
      </c>
      <c r="G14" s="255" t="s">
        <v>2</v>
      </c>
      <c r="H14" s="251"/>
      <c r="I14" s="251"/>
      <c r="J14" s="252"/>
      <c r="K14" s="251"/>
      <c r="L14" s="251"/>
      <c r="M14" s="251"/>
      <c r="N14" s="251"/>
      <c r="O14" s="247"/>
      <c r="P14" s="251"/>
      <c r="Q14" s="231"/>
    </row>
    <row r="15" spans="1:18">
      <c r="C15" s="246" t="s">
        <v>231</v>
      </c>
      <c r="D15" s="160"/>
      <c r="E15" s="247"/>
      <c r="F15" s="254"/>
      <c r="G15" s="247"/>
      <c r="H15" s="251"/>
      <c r="I15" s="251"/>
      <c r="J15" s="252"/>
      <c r="K15" s="651" t="s">
        <v>3</v>
      </c>
      <c r="L15" s="652"/>
      <c r="M15" s="652"/>
      <c r="N15" s="652"/>
      <c r="O15" s="653"/>
      <c r="P15" s="251"/>
      <c r="Q15" s="231"/>
    </row>
    <row r="16" spans="1:18">
      <c r="C16" s="252"/>
      <c r="D16" s="256" t="s">
        <v>4</v>
      </c>
      <c r="E16" s="256" t="s">
        <v>5</v>
      </c>
      <c r="F16" s="257" t="s">
        <v>6</v>
      </c>
      <c r="G16" s="247"/>
      <c r="H16" s="251"/>
      <c r="I16" s="251"/>
      <c r="J16" s="252"/>
      <c r="K16" s="654"/>
      <c r="L16" s="655"/>
      <c r="M16" s="655"/>
      <c r="N16" s="655"/>
      <c r="O16" s="656"/>
      <c r="P16" s="251"/>
      <c r="Q16" s="231"/>
    </row>
    <row r="17" spans="3:17">
      <c r="C17" s="258" t="s">
        <v>7</v>
      </c>
      <c r="D17" s="259">
        <f>+R107</f>
        <v>0.48024726615946089</v>
      </c>
      <c r="E17" s="260">
        <f>+R108</f>
        <v>4.164358942050251E-2</v>
      </c>
      <c r="F17" s="261">
        <f>E17*D17</f>
        <v>1.999921997226338E-2</v>
      </c>
      <c r="G17" s="247"/>
      <c r="H17" s="251"/>
      <c r="I17" s="262"/>
      <c r="J17" s="263"/>
      <c r="K17" s="264"/>
      <c r="L17" s="265"/>
      <c r="M17" s="252" t="s">
        <v>8</v>
      </c>
      <c r="N17" s="252" t="s">
        <v>9</v>
      </c>
      <c r="O17" s="266" t="s">
        <v>10</v>
      </c>
      <c r="P17" s="251"/>
      <c r="Q17" s="231"/>
    </row>
    <row r="18" spans="3:17">
      <c r="C18" s="258" t="s">
        <v>11</v>
      </c>
      <c r="D18" s="259">
        <f>+R109</f>
        <v>0</v>
      </c>
      <c r="E18" s="260">
        <f>+R110</f>
        <v>0</v>
      </c>
      <c r="F18" s="261">
        <f>E18*D18</f>
        <v>0</v>
      </c>
      <c r="G18" s="267"/>
      <c r="H18" s="267"/>
      <c r="I18" s="268"/>
      <c r="J18" s="269"/>
      <c r="K18" s="270"/>
      <c r="L18" s="194"/>
      <c r="M18" s="194"/>
      <c r="N18" s="194"/>
      <c r="O18" s="271"/>
      <c r="P18" s="267"/>
      <c r="Q18" s="231"/>
    </row>
    <row r="19" spans="3:17" ht="13.5" thickBot="1">
      <c r="C19" s="272" t="s">
        <v>12</v>
      </c>
      <c r="D19" s="259">
        <f>+R111</f>
        <v>0.51975273384053922</v>
      </c>
      <c r="E19" s="260">
        <f>+F14</f>
        <v>0.105</v>
      </c>
      <c r="F19" s="273">
        <f>E19*D19</f>
        <v>5.4574037053256613E-2</v>
      </c>
      <c r="G19" s="267"/>
      <c r="H19" s="267"/>
      <c r="I19" s="254"/>
      <c r="J19" s="269"/>
      <c r="K19" s="274" t="s">
        <v>13</v>
      </c>
      <c r="L19" s="275">
        <f>R104</f>
        <v>2024</v>
      </c>
      <c r="M19" s="276">
        <f>SUM('P.001:P.xyz - blank'!N5)</f>
        <v>8557318.5351672061</v>
      </c>
      <c r="N19" s="276">
        <f>SUM('P.001:P.xyz - blank'!N6)</f>
        <v>8557318.5351672061</v>
      </c>
      <c r="O19" s="277">
        <f>+N19-M19</f>
        <v>0</v>
      </c>
      <c r="P19" s="268"/>
      <c r="Q19" s="231"/>
    </row>
    <row r="20" spans="3:17">
      <c r="C20" s="246"/>
      <c r="D20" s="247"/>
      <c r="E20" s="278" t="s">
        <v>14</v>
      </c>
      <c r="F20" s="261">
        <f>SUM(F17:F19)</f>
        <v>7.4573257025519993E-2</v>
      </c>
      <c r="G20" s="267"/>
      <c r="H20" s="267"/>
      <c r="I20" s="268"/>
      <c r="J20" s="269"/>
      <c r="M20" s="279" t="str">
        <f>IF(M19=SUM('P.001:P.xyz - blank'!N5),"","ERROR")</f>
        <v/>
      </c>
      <c r="N20" s="279" t="str">
        <f>IF(N19=SUM('P.001:P.xyz - blank'!N6),"","ERROR")</f>
        <v/>
      </c>
      <c r="O20" s="279" t="str">
        <f>IF(O19=SUM('P.001:P.xyz - blank'!N7),"","ERROR")</f>
        <v/>
      </c>
      <c r="P20" s="267"/>
      <c r="Q20" s="231"/>
    </row>
    <row r="21" spans="3:17">
      <c r="D21" s="280"/>
      <c r="E21" s="280"/>
      <c r="F21" s="267"/>
      <c r="G21" s="267"/>
      <c r="H21" s="267"/>
      <c r="I21" s="267"/>
      <c r="J21" s="281"/>
      <c r="K21" s="178" t="s">
        <v>15</v>
      </c>
      <c r="P21" s="267"/>
      <c r="Q21" s="231"/>
    </row>
    <row r="22" spans="3:17" ht="15.75">
      <c r="C22" s="243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280"/>
      <c r="E22" s="280"/>
      <c r="F22" s="282"/>
      <c r="G22" s="267"/>
      <c r="H22" s="247"/>
      <c r="I22" s="267"/>
      <c r="J22" s="281"/>
      <c r="K22" s="148" t="s">
        <v>16</v>
      </c>
      <c r="P22" s="267"/>
      <c r="Q22" s="231"/>
    </row>
    <row r="23" spans="3:17">
      <c r="C23" s="252"/>
      <c r="D23" s="280"/>
      <c r="E23" s="280"/>
      <c r="F23" s="281"/>
      <c r="G23" s="281"/>
      <c r="H23" s="281"/>
      <c r="I23" s="281"/>
      <c r="J23" s="281"/>
      <c r="K23" s="268"/>
      <c r="L23" s="283"/>
      <c r="M23" s="235"/>
      <c r="N23" s="268"/>
      <c r="O23" s="267"/>
      <c r="P23" s="281"/>
      <c r="Q23" s="241"/>
    </row>
    <row r="24" spans="3:17">
      <c r="C24" s="246" t="str">
        <f>+S112</f>
        <v xml:space="preserve">   Rate Base  (TCOS, ln 63)</v>
      </c>
      <c r="D24" s="247"/>
      <c r="E24" s="284">
        <f>+R112</f>
        <v>683940833.71235883</v>
      </c>
      <c r="F24" s="285"/>
      <c r="G24" s="281"/>
      <c r="H24" s="281"/>
      <c r="I24" s="281"/>
      <c r="J24" s="281"/>
      <c r="K24" s="281"/>
      <c r="L24" s="281"/>
      <c r="M24" s="281"/>
      <c r="N24" s="281"/>
      <c r="O24" s="281"/>
      <c r="P24" s="285"/>
      <c r="Q24" s="241"/>
    </row>
    <row r="25" spans="3:17">
      <c r="C25" s="252" t="s">
        <v>17</v>
      </c>
      <c r="D25" s="249"/>
      <c r="E25" s="286">
        <f>F20</f>
        <v>7.4573257025519993E-2</v>
      </c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41"/>
    </row>
    <row r="26" spans="3:17">
      <c r="C26" s="287" t="s">
        <v>18</v>
      </c>
      <c r="D26" s="287"/>
      <c r="E26" s="268">
        <f>E24*E25</f>
        <v>51003695.582680166</v>
      </c>
      <c r="F26" s="281"/>
      <c r="G26" s="281"/>
      <c r="H26" s="281"/>
      <c r="I26" s="269"/>
      <c r="J26" s="269"/>
      <c r="K26" s="269"/>
      <c r="L26" s="269"/>
      <c r="M26" s="281"/>
      <c r="N26" s="269"/>
      <c r="O26" s="281"/>
      <c r="P26" s="281"/>
      <c r="Q26" s="241"/>
    </row>
    <row r="27" spans="3:17">
      <c r="C27" s="288"/>
      <c r="D27" s="251"/>
      <c r="E27" s="251"/>
      <c r="F27" s="281"/>
      <c r="G27" s="281"/>
      <c r="H27" s="281"/>
      <c r="I27" s="269"/>
      <c r="J27" s="269"/>
      <c r="K27" s="269"/>
      <c r="L27" s="269"/>
      <c r="M27" s="281"/>
      <c r="N27" s="269"/>
      <c r="O27" s="281"/>
      <c r="P27" s="281"/>
      <c r="Q27" s="241"/>
    </row>
    <row r="28" spans="3:17" ht="15.75">
      <c r="C28" s="243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289"/>
      <c r="E28" s="289"/>
      <c r="F28" s="290"/>
      <c r="G28" s="290"/>
      <c r="H28" s="290"/>
      <c r="I28" s="291"/>
      <c r="J28" s="291"/>
      <c r="K28" s="291"/>
      <c r="L28" s="291"/>
      <c r="M28" s="281"/>
      <c r="N28" s="291"/>
      <c r="O28" s="290"/>
      <c r="P28" s="290"/>
      <c r="Q28" s="241"/>
    </row>
    <row r="29" spans="3:17">
      <c r="C29" s="246"/>
      <c r="D29" s="251"/>
      <c r="E29" s="251"/>
      <c r="F29" s="281"/>
      <c r="G29" s="281"/>
      <c r="H29" s="281"/>
      <c r="I29" s="269"/>
      <c r="J29" s="269"/>
      <c r="K29" s="269"/>
      <c r="L29" s="269"/>
      <c r="M29" s="281"/>
      <c r="N29" s="269"/>
      <c r="O29" s="281"/>
      <c r="P29" s="281"/>
      <c r="Q29" s="241"/>
    </row>
    <row r="30" spans="3:17">
      <c r="C30" s="252" t="s">
        <v>19</v>
      </c>
      <c r="D30" s="278"/>
      <c r="E30" s="292">
        <f>E26</f>
        <v>51003695.582680166</v>
      </c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41"/>
    </row>
    <row r="31" spans="3:17">
      <c r="C31" s="246" t="str">
        <f>+S113</f>
        <v xml:space="preserve">   Tax Rate  (TCOS, ln 99)</v>
      </c>
      <c r="D31" s="278"/>
      <c r="E31" s="293">
        <f>+R113</f>
        <v>0.24025699999999994</v>
      </c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41"/>
    </row>
    <row r="32" spans="3:17">
      <c r="C32" s="252" t="s">
        <v>20</v>
      </c>
      <c r="D32" s="239"/>
      <c r="E32" s="254">
        <f>IF(F17&gt;0,($E31/(1-$E31))*(1-$F17/$F20),0)</f>
        <v>0.23142608708952522</v>
      </c>
      <c r="F32" s="231"/>
      <c r="G32" s="254"/>
      <c r="H32" s="240"/>
      <c r="I32" s="231"/>
      <c r="J32" s="241"/>
      <c r="K32" s="231"/>
      <c r="L32" s="231"/>
      <c r="M32" s="231"/>
      <c r="N32" s="231"/>
      <c r="O32" s="231"/>
      <c r="P32" s="231"/>
      <c r="Q32" s="231"/>
    </row>
    <row r="33" spans="2:19">
      <c r="C33" s="287" t="s">
        <v>21</v>
      </c>
      <c r="D33" s="294"/>
      <c r="E33" s="295">
        <f>E30*E32</f>
        <v>11803585.695804972</v>
      </c>
      <c r="F33" s="295"/>
      <c r="G33" s="231"/>
      <c r="H33" s="240"/>
      <c r="I33" s="231"/>
      <c r="J33" s="241"/>
      <c r="K33" s="231"/>
      <c r="L33" s="231"/>
      <c r="M33" s="231"/>
      <c r="N33" s="231"/>
      <c r="O33" s="231"/>
      <c r="P33" s="231"/>
      <c r="Q33" s="231"/>
    </row>
    <row r="34" spans="2:19" ht="15">
      <c r="C34" s="246" t="str">
        <f>+S114</f>
        <v xml:space="preserve">   ITC Adjustment  (TCOS, ln 108)</v>
      </c>
      <c r="D34" s="296"/>
      <c r="E34" s="297">
        <f>+R114</f>
        <v>-319531.69580624782</v>
      </c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8"/>
      <c r="Q34" s="296"/>
    </row>
    <row r="35" spans="2:19" ht="15">
      <c r="C35" s="246" t="str">
        <f>+S115</f>
        <v xml:space="preserve">   Excess DFIT Adjustment  (TCOS, ln 109)</v>
      </c>
      <c r="D35" s="296"/>
      <c r="E35" s="297">
        <f>+R115</f>
        <v>-1166965.6413902158</v>
      </c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8"/>
      <c r="Q35" s="296"/>
    </row>
    <row r="36" spans="2:19" ht="15">
      <c r="C36" s="246" t="str">
        <f>+S116</f>
        <v xml:space="preserve">   Tax Effect of Permanent and Flow Through Differences  (TCOS, ln 110)</v>
      </c>
      <c r="D36" s="296"/>
      <c r="E36" s="297">
        <f>+R116</f>
        <v>85069.571157615137</v>
      </c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8"/>
      <c r="Q36" s="296"/>
    </row>
    <row r="37" spans="2:19" ht="15">
      <c r="C37" s="288" t="s">
        <v>22</v>
      </c>
      <c r="D37" s="296"/>
      <c r="E37" s="297">
        <f>E33+E34+E35+E36</f>
        <v>10402157.929766124</v>
      </c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9"/>
      <c r="Q37" s="296"/>
    </row>
    <row r="38" spans="2:19" ht="12.75" customHeight="1">
      <c r="C38" s="300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9"/>
      <c r="Q38" s="296"/>
      <c r="R38" s="231"/>
      <c r="S38" s="231"/>
    </row>
    <row r="39" spans="2:19" ht="18.75">
      <c r="B39" s="301" t="s">
        <v>23</v>
      </c>
      <c r="C39" s="302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9"/>
      <c r="Q39" s="296"/>
      <c r="R39" s="231"/>
      <c r="S39" s="231"/>
    </row>
    <row r="40" spans="2:19" ht="15.75" customHeight="1">
      <c r="B40" s="301"/>
      <c r="C40" s="302" t="str">
        <f>"ROE increase."</f>
        <v>ROE increase.</v>
      </c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9"/>
      <c r="Q40" s="296"/>
      <c r="R40" s="231"/>
      <c r="S40" s="231"/>
    </row>
    <row r="41" spans="2:19" ht="12.75" customHeight="1">
      <c r="C41" s="300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9"/>
      <c r="Q41" s="296"/>
      <c r="R41" s="231"/>
      <c r="S41" s="231"/>
    </row>
    <row r="42" spans="2:19" ht="15.75">
      <c r="C42" s="243" t="s">
        <v>24</v>
      </c>
      <c r="D42" s="296"/>
      <c r="E42" s="296"/>
      <c r="F42" s="303"/>
      <c r="G42" s="296"/>
      <c r="H42" s="296"/>
      <c r="I42" s="296"/>
      <c r="J42" s="296"/>
      <c r="K42" s="296"/>
      <c r="L42" s="296"/>
      <c r="M42" s="296"/>
      <c r="N42" s="296"/>
      <c r="O42" s="296"/>
      <c r="P42" s="299"/>
      <c r="Q42" s="296"/>
      <c r="R42" s="231"/>
      <c r="S42" s="231"/>
    </row>
    <row r="43" spans="2:19">
      <c r="B43" s="231"/>
      <c r="C43" s="304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297"/>
      <c r="Q43" s="305"/>
      <c r="R43" s="231"/>
      <c r="S43" s="231"/>
    </row>
    <row r="44" spans="2:19" ht="12.75" customHeight="1">
      <c r="B44" s="231"/>
      <c r="C44" s="246" t="str">
        <f>+S117</f>
        <v xml:space="preserve">   Net Revenue Requirement  (TCOS, ln 117)</v>
      </c>
      <c r="D44" s="305"/>
      <c r="E44" s="305"/>
      <c r="F44" s="297">
        <f>+R117</f>
        <v>120680786.1123959</v>
      </c>
      <c r="G44" s="305"/>
      <c r="H44" s="305"/>
      <c r="I44" s="305"/>
      <c r="J44" s="305"/>
      <c r="K44" s="305"/>
      <c r="L44" s="305"/>
      <c r="M44" s="305"/>
      <c r="N44" s="305"/>
      <c r="O44" s="305"/>
      <c r="P44" s="297"/>
      <c r="Q44" s="305"/>
      <c r="R44" s="231"/>
      <c r="S44" s="231"/>
    </row>
    <row r="45" spans="2:19">
      <c r="B45" s="231"/>
      <c r="C45" s="246" t="str">
        <f>+S118</f>
        <v xml:space="preserve">   Return  (TCOS, ln 112)</v>
      </c>
      <c r="D45" s="305"/>
      <c r="E45" s="305"/>
      <c r="F45" s="306">
        <f>+R118</f>
        <v>51003695.582680166</v>
      </c>
      <c r="G45" s="307"/>
      <c r="H45" s="307"/>
      <c r="I45" s="307"/>
      <c r="J45" s="307"/>
      <c r="K45" s="307"/>
      <c r="L45" s="307"/>
      <c r="M45" s="307"/>
      <c r="N45" s="307"/>
      <c r="O45" s="307"/>
      <c r="P45" s="297"/>
      <c r="Q45" s="305"/>
      <c r="R45" s="231"/>
      <c r="S45" s="231"/>
    </row>
    <row r="46" spans="2:19">
      <c r="B46" s="231"/>
      <c r="C46" s="246" t="str">
        <f>+S119</f>
        <v xml:space="preserve">   Income Taxes  (TCOS, ln 111)</v>
      </c>
      <c r="D46" s="305"/>
      <c r="E46" s="305"/>
      <c r="F46" s="297">
        <f>+R119</f>
        <v>10402157.929766124</v>
      </c>
      <c r="G46" s="305"/>
      <c r="H46" s="305"/>
      <c r="I46" s="308"/>
      <c r="J46" s="308"/>
      <c r="K46" s="308"/>
      <c r="L46" s="308"/>
      <c r="M46" s="308"/>
      <c r="N46" s="308"/>
      <c r="O46" s="305"/>
      <c r="P46" s="305"/>
      <c r="Q46" s="305"/>
      <c r="R46" s="231"/>
      <c r="S46" s="231"/>
    </row>
    <row r="47" spans="2:19">
      <c r="B47" s="231"/>
      <c r="C47" s="304" t="str">
        <f>+S120</f>
        <v xml:space="preserve">  Gross Margin Taxes  (TCOS, ln 116)</v>
      </c>
      <c r="D47" s="305"/>
      <c r="E47" s="305"/>
      <c r="F47" s="309">
        <f>+R120</f>
        <v>0</v>
      </c>
      <c r="G47" s="305"/>
      <c r="H47" s="305"/>
      <c r="I47" s="308"/>
      <c r="J47" s="308"/>
      <c r="K47" s="308"/>
      <c r="L47" s="308"/>
      <c r="M47" s="308"/>
      <c r="N47" s="308"/>
      <c r="O47" s="305"/>
      <c r="P47" s="305"/>
      <c r="Q47" s="305"/>
      <c r="R47" s="231"/>
      <c r="S47" s="231"/>
    </row>
    <row r="48" spans="2:19">
      <c r="B48" s="231"/>
      <c r="C48" s="310" t="s">
        <v>25</v>
      </c>
      <c r="D48" s="305"/>
      <c r="E48" s="305"/>
      <c r="F48" s="306">
        <f>F44-F45-F46-F47</f>
        <v>59274932.599949606</v>
      </c>
      <c r="G48" s="311"/>
      <c r="H48" s="305"/>
      <c r="I48" s="311"/>
      <c r="J48" s="311"/>
      <c r="K48" s="311"/>
      <c r="L48" s="311"/>
      <c r="M48" s="311"/>
      <c r="N48" s="311"/>
      <c r="O48" s="305"/>
      <c r="P48" s="311"/>
      <c r="Q48" s="305"/>
      <c r="R48" s="231"/>
      <c r="S48" s="231"/>
    </row>
    <row r="49" spans="2:19">
      <c r="B49" s="231"/>
      <c r="C49" s="304"/>
      <c r="D49" s="305"/>
      <c r="E49" s="305"/>
      <c r="F49" s="297"/>
      <c r="G49" s="312"/>
      <c r="H49" s="313"/>
      <c r="I49" s="313"/>
      <c r="J49" s="313"/>
      <c r="K49" s="313"/>
      <c r="L49" s="313"/>
      <c r="M49" s="313"/>
      <c r="N49" s="313"/>
      <c r="O49" s="314"/>
      <c r="P49" s="313"/>
      <c r="Q49" s="315"/>
      <c r="R49" s="231"/>
      <c r="S49" s="231"/>
    </row>
    <row r="50" spans="2:19" ht="15.75">
      <c r="B50" s="231"/>
      <c r="C50" s="243" t="str">
        <f>"B.   Determine Net Revenue Requirement with hypothetical "&amp;F13&amp;" basis point increase in ROE."</f>
        <v>B.   Determine Net Revenue Requirement with hypothetical 0 basis point increase in ROE.</v>
      </c>
      <c r="D50" s="314"/>
      <c r="E50" s="314"/>
      <c r="F50" s="297"/>
      <c r="G50" s="312"/>
      <c r="H50" s="313"/>
      <c r="I50" s="313"/>
      <c r="J50" s="313"/>
      <c r="K50" s="313"/>
      <c r="L50" s="313"/>
      <c r="M50" s="313"/>
      <c r="N50" s="313"/>
      <c r="O50" s="314"/>
      <c r="P50" s="313"/>
      <c r="Q50" s="305"/>
    </row>
    <row r="51" spans="2:19">
      <c r="B51" s="231"/>
      <c r="C51" s="304"/>
      <c r="D51" s="314"/>
      <c r="E51" s="314"/>
      <c r="F51" s="297"/>
      <c r="G51" s="312"/>
      <c r="H51" s="313"/>
      <c r="I51" s="313"/>
      <c r="J51" s="313"/>
      <c r="K51" s="313"/>
      <c r="L51" s="313"/>
      <c r="M51" s="313"/>
      <c r="N51" s="313"/>
      <c r="O51" s="314"/>
      <c r="P51" s="313"/>
      <c r="Q51" s="305"/>
    </row>
    <row r="52" spans="2:19">
      <c r="B52" s="231"/>
      <c r="C52" s="304" t="str">
        <f>C48</f>
        <v xml:space="preserve">   Net Revenue Requirement, Less Return and Taxes</v>
      </c>
      <c r="D52" s="314"/>
      <c r="E52" s="314"/>
      <c r="F52" s="297">
        <f>F48</f>
        <v>59274932.599949606</v>
      </c>
      <c r="G52" s="305"/>
      <c r="H52" s="305"/>
      <c r="I52" s="305"/>
      <c r="J52" s="305"/>
      <c r="K52" s="305"/>
      <c r="L52" s="305"/>
      <c r="M52" s="305"/>
      <c r="N52" s="305"/>
      <c r="O52" s="316"/>
      <c r="P52" s="317"/>
      <c r="Q52" s="318"/>
    </row>
    <row r="53" spans="2:19">
      <c r="B53" s="231"/>
      <c r="C53" s="252" t="s">
        <v>103</v>
      </c>
      <c r="D53" s="319"/>
      <c r="E53" s="310"/>
      <c r="F53" s="320">
        <f>E26</f>
        <v>51003695.582680166</v>
      </c>
      <c r="G53" s="310"/>
      <c r="H53" s="321"/>
      <c r="I53" s="310"/>
      <c r="J53" s="310"/>
      <c r="K53" s="310"/>
      <c r="L53" s="310"/>
      <c r="M53" s="310"/>
      <c r="N53" s="310"/>
      <c r="O53" s="310"/>
      <c r="P53" s="310"/>
      <c r="Q53" s="310"/>
    </row>
    <row r="54" spans="2:19" ht="12.75" customHeight="1">
      <c r="B54" s="231"/>
      <c r="C54" s="246" t="s">
        <v>26</v>
      </c>
      <c r="D54" s="305"/>
      <c r="E54" s="305"/>
      <c r="F54" s="322">
        <f>E37</f>
        <v>10402157.929766124</v>
      </c>
      <c r="G54" s="231"/>
      <c r="H54" s="240"/>
      <c r="I54" s="231"/>
      <c r="J54" s="241"/>
      <c r="K54" s="231"/>
      <c r="L54" s="231"/>
      <c r="M54" s="231"/>
      <c r="N54" s="231"/>
      <c r="O54" s="231"/>
      <c r="P54" s="231"/>
      <c r="Q54" s="231"/>
    </row>
    <row r="55" spans="2:19">
      <c r="B55" s="231"/>
      <c r="C55" s="310" t="str">
        <f>"   Net Revenue Requirement, with "&amp;F13&amp;" Basis Point ROE increase"</f>
        <v xml:space="preserve">   Net Revenue Requirement, with 0 Basis Point ROE increase</v>
      </c>
      <c r="D55" s="239"/>
      <c r="E55" s="231"/>
      <c r="F55" s="295">
        <f>SUM(F52:F54)</f>
        <v>120680786.11239588</v>
      </c>
      <c r="G55" s="231"/>
      <c r="H55" s="240"/>
      <c r="I55" s="231"/>
      <c r="J55" s="241"/>
      <c r="K55" s="231"/>
      <c r="L55" s="231"/>
      <c r="M55" s="231"/>
      <c r="N55" s="231"/>
      <c r="O55" s="231"/>
      <c r="P55" s="231"/>
      <c r="Q55" s="231"/>
      <c r="R55" s="231"/>
      <c r="S55" s="231"/>
    </row>
    <row r="56" spans="2:19">
      <c r="B56" s="231"/>
      <c r="C56" s="323" t="str">
        <f>"   Gross Margin Tax with "&amp;F13&amp;" Basis Point ROE Increase (II C. below)"</f>
        <v xml:space="preserve">   Gross Margin Tax with 0 Basis Point ROE Increase (II C. below)</v>
      </c>
      <c r="D56" s="324"/>
      <c r="E56" s="324"/>
      <c r="F56" s="325">
        <f>+F71</f>
        <v>0</v>
      </c>
      <c r="G56" s="231"/>
      <c r="H56" s="240"/>
      <c r="I56" s="231"/>
      <c r="J56" s="241"/>
      <c r="K56" s="231"/>
      <c r="L56" s="231"/>
      <c r="M56" s="231"/>
      <c r="N56" s="231"/>
      <c r="O56" s="231"/>
      <c r="P56" s="231"/>
      <c r="Q56" s="231"/>
      <c r="R56" s="231"/>
      <c r="S56" s="231"/>
    </row>
    <row r="57" spans="2:19">
      <c r="B57" s="231"/>
      <c r="C57" s="310" t="s">
        <v>27</v>
      </c>
      <c r="D57" s="239"/>
      <c r="E57" s="231"/>
      <c r="F57" s="326">
        <f>+F55+F56</f>
        <v>120680786.11239588</v>
      </c>
      <c r="G57" s="231"/>
      <c r="H57" s="240"/>
      <c r="I57" s="231"/>
      <c r="J57" s="241"/>
      <c r="K57" s="231"/>
      <c r="L57" s="231"/>
      <c r="M57" s="231"/>
      <c r="N57" s="231"/>
      <c r="O57" s="231"/>
      <c r="P57" s="231"/>
      <c r="Q57" s="231"/>
      <c r="R57" s="231"/>
      <c r="S57" s="231"/>
    </row>
    <row r="58" spans="2:19">
      <c r="B58" s="231"/>
      <c r="C58" s="246" t="str">
        <f>+S121</f>
        <v xml:space="preserve">   Less: Depreciation  (TCOS, ln 86)</v>
      </c>
      <c r="D58" s="239"/>
      <c r="E58" s="231"/>
      <c r="F58" s="327">
        <f>+R121</f>
        <v>27536981.893529497</v>
      </c>
      <c r="G58" s="231"/>
      <c r="H58" s="240"/>
      <c r="I58" s="231"/>
      <c r="J58" s="241"/>
      <c r="K58" s="231"/>
      <c r="L58" s="231"/>
      <c r="M58" s="231"/>
      <c r="N58" s="231"/>
      <c r="O58" s="231"/>
      <c r="P58" s="231"/>
      <c r="Q58" s="231"/>
      <c r="R58" s="231"/>
      <c r="S58" s="231"/>
    </row>
    <row r="59" spans="2:19">
      <c r="B59" s="231"/>
      <c r="C59" s="310" t="str">
        <f>"   Net Rev. Req, w/"&amp;F13&amp;" Basis Point ROE increase, less Depreciation"</f>
        <v xml:space="preserve">   Net Rev. Req, w/0 Basis Point ROE increase, less Depreciation</v>
      </c>
      <c r="D59" s="239"/>
      <c r="E59" s="231"/>
      <c r="F59" s="295">
        <f>F57-F58</f>
        <v>93143804.218866378</v>
      </c>
      <c r="G59" s="231"/>
      <c r="H59" s="240"/>
      <c r="I59" s="231"/>
      <c r="J59" s="241"/>
      <c r="K59" s="231"/>
      <c r="L59" s="231"/>
      <c r="M59" s="231"/>
      <c r="N59" s="231"/>
      <c r="O59" s="231"/>
      <c r="P59" s="231"/>
      <c r="Q59" s="231"/>
      <c r="R59" s="231"/>
      <c r="S59" s="231"/>
    </row>
    <row r="60" spans="2:19">
      <c r="B60" s="231"/>
      <c r="C60" s="231"/>
      <c r="D60" s="239"/>
      <c r="E60" s="231"/>
      <c r="F60" s="231"/>
      <c r="G60" s="231"/>
      <c r="H60" s="240"/>
      <c r="I60" s="231"/>
      <c r="J60" s="241"/>
      <c r="K60" s="231"/>
      <c r="L60" s="231"/>
      <c r="M60" s="231"/>
      <c r="N60" s="231"/>
      <c r="O60" s="231"/>
      <c r="P60" s="231"/>
      <c r="Q60" s="231"/>
      <c r="R60" s="231"/>
      <c r="S60" s="231"/>
    </row>
    <row r="61" spans="2:19" ht="15.75">
      <c r="B61" s="328"/>
      <c r="C61" s="329" t="str">
        <f>"C.   Determine Gross Margin Tax with hypothetical "&amp;F13&amp;" basis point increase in ROE."</f>
        <v>C.   Determine Gross Margin Tax with hypothetical 0 basis point increase in ROE.</v>
      </c>
      <c r="D61" s="330"/>
      <c r="E61" s="330"/>
      <c r="F61" s="331"/>
      <c r="G61" s="328"/>
      <c r="H61" s="332"/>
      <c r="I61" s="328"/>
      <c r="J61" s="241"/>
      <c r="K61" s="231"/>
      <c r="L61" s="231"/>
      <c r="M61" s="231"/>
      <c r="N61" s="231"/>
      <c r="O61" s="231"/>
      <c r="P61" s="231"/>
      <c r="Q61" s="231"/>
      <c r="R61" s="231"/>
      <c r="S61" s="231"/>
    </row>
    <row r="62" spans="2:19">
      <c r="B62" s="328"/>
      <c r="C62" s="323" t="str">
        <f>"   Net Revenue Requirement before Gross Margin Taxes, with "&amp;F13&amp;" "</f>
        <v xml:space="preserve">   Net Revenue Requirement before Gross Margin Taxes, with 0 </v>
      </c>
      <c r="D62" s="330"/>
      <c r="E62" s="330"/>
      <c r="F62" s="331">
        <f>+F55</f>
        <v>120680786.11239588</v>
      </c>
      <c r="G62" s="328"/>
      <c r="H62" s="332"/>
      <c r="I62" s="328"/>
      <c r="J62" s="241"/>
      <c r="K62" s="231"/>
      <c r="L62" s="231"/>
      <c r="M62" s="231"/>
      <c r="N62" s="231"/>
      <c r="O62" s="231"/>
      <c r="P62" s="231"/>
      <c r="Q62" s="231"/>
      <c r="R62" s="231"/>
      <c r="S62" s="231"/>
    </row>
    <row r="63" spans="2:19">
      <c r="B63" s="328"/>
      <c r="C63" s="323" t="s">
        <v>28</v>
      </c>
      <c r="D63" s="330"/>
      <c r="E63" s="330"/>
      <c r="F63" s="331"/>
      <c r="G63" s="328"/>
      <c r="H63" s="332"/>
      <c r="I63" s="328"/>
      <c r="J63" s="241"/>
      <c r="K63" s="231"/>
      <c r="L63" s="231"/>
      <c r="M63" s="231"/>
      <c r="N63" s="231"/>
      <c r="O63" s="231"/>
      <c r="P63" s="231"/>
      <c r="Q63" s="231"/>
      <c r="R63" s="231"/>
      <c r="S63" s="231"/>
    </row>
    <row r="64" spans="2:19">
      <c r="B64" s="328"/>
      <c r="C64" s="310" t="str">
        <f>+S122</f>
        <v xml:space="preserve">       Apportionment Factor to Texas (Worksheet K, ln 12)</v>
      </c>
      <c r="D64" s="294"/>
      <c r="E64" s="328"/>
      <c r="F64" s="333">
        <f>+R122</f>
        <v>0</v>
      </c>
      <c r="G64" s="328"/>
      <c r="H64" s="332"/>
      <c r="I64" s="328"/>
      <c r="J64" s="241"/>
      <c r="K64" s="231"/>
      <c r="L64" s="231"/>
      <c r="M64" s="231"/>
      <c r="N64" s="231"/>
      <c r="O64" s="231"/>
      <c r="P64" s="231"/>
      <c r="Q64" s="231"/>
      <c r="R64" s="231"/>
      <c r="S64" s="231"/>
    </row>
    <row r="65" spans="2:19">
      <c r="B65" s="328"/>
      <c r="C65" s="310" t="s">
        <v>29</v>
      </c>
      <c r="D65" s="294"/>
      <c r="E65" s="328"/>
      <c r="F65" s="331">
        <f>+F62*F64</f>
        <v>0</v>
      </c>
      <c r="G65" s="328"/>
      <c r="H65" s="332"/>
      <c r="I65" s="328"/>
      <c r="J65" s="241"/>
      <c r="K65" s="231"/>
      <c r="L65" s="231"/>
      <c r="M65" s="231"/>
      <c r="N65" s="231"/>
      <c r="O65" s="231"/>
      <c r="P65" s="231"/>
      <c r="Q65" s="231"/>
      <c r="R65" s="231"/>
      <c r="S65" s="231"/>
    </row>
    <row r="66" spans="2:19">
      <c r="B66" s="328"/>
      <c r="C66" s="310" t="s">
        <v>288</v>
      </c>
      <c r="D66" s="294"/>
      <c r="E66" s="328"/>
      <c r="F66" s="334">
        <v>0.22</v>
      </c>
      <c r="G66" s="328"/>
      <c r="H66" s="332"/>
      <c r="I66" s="328"/>
      <c r="J66" s="241"/>
      <c r="K66" s="231"/>
      <c r="L66" s="231"/>
      <c r="M66" s="231"/>
      <c r="N66" s="231"/>
      <c r="O66" s="231"/>
      <c r="P66" s="231"/>
      <c r="Q66" s="231"/>
      <c r="R66" s="231"/>
      <c r="S66" s="231"/>
    </row>
    <row r="67" spans="2:19">
      <c r="B67" s="328"/>
      <c r="C67" s="310" t="s">
        <v>30</v>
      </c>
      <c r="D67" s="294"/>
      <c r="E67" s="328"/>
      <c r="F67" s="331">
        <f>+F65*F66</f>
        <v>0</v>
      </c>
      <c r="G67" s="328"/>
      <c r="H67" s="332"/>
      <c r="I67" s="328"/>
      <c r="J67" s="241"/>
      <c r="K67" s="231"/>
      <c r="L67" s="231"/>
      <c r="M67" s="231"/>
      <c r="N67" s="231"/>
      <c r="O67" s="231"/>
      <c r="P67" s="231"/>
      <c r="Q67" s="231"/>
      <c r="R67" s="231"/>
      <c r="S67" s="231"/>
    </row>
    <row r="68" spans="2:19">
      <c r="B68" s="328"/>
      <c r="C68" s="310" t="s">
        <v>31</v>
      </c>
      <c r="D68" s="294"/>
      <c r="E68" s="328"/>
      <c r="F68" s="334">
        <v>0.01</v>
      </c>
      <c r="G68" s="328"/>
      <c r="H68" s="332"/>
      <c r="I68" s="328"/>
      <c r="J68" s="241"/>
      <c r="K68" s="231"/>
      <c r="L68" s="231"/>
      <c r="M68" s="231"/>
      <c r="N68" s="231"/>
      <c r="O68" s="231"/>
      <c r="P68" s="231"/>
      <c r="Q68" s="231"/>
      <c r="R68" s="231"/>
      <c r="S68" s="231"/>
    </row>
    <row r="69" spans="2:19">
      <c r="B69" s="328"/>
      <c r="C69" s="310" t="s">
        <v>32</v>
      </c>
      <c r="D69" s="294"/>
      <c r="E69" s="328"/>
      <c r="F69" s="331">
        <f>+F67*F68</f>
        <v>0</v>
      </c>
      <c r="G69" s="328"/>
      <c r="H69" s="332"/>
      <c r="I69" s="328"/>
      <c r="J69" s="241"/>
      <c r="K69" s="231"/>
      <c r="L69" s="231"/>
      <c r="M69" s="231"/>
      <c r="N69" s="231"/>
      <c r="O69" s="231"/>
      <c r="P69" s="231"/>
      <c r="Q69" s="231"/>
      <c r="R69" s="231"/>
      <c r="S69" s="231"/>
    </row>
    <row r="70" spans="2:19">
      <c r="B70" s="328"/>
      <c r="C70" s="310" t="s">
        <v>33</v>
      </c>
      <c r="D70" s="294"/>
      <c r="E70" s="328"/>
      <c r="F70" s="335">
        <f>+ROUND((F69*F66*F64)/(1-F68)*F68,0)</f>
        <v>0</v>
      </c>
      <c r="G70" s="328"/>
      <c r="H70" s="332"/>
      <c r="I70" s="328"/>
      <c r="J70" s="241"/>
      <c r="K70" s="231"/>
      <c r="L70" s="231"/>
      <c r="M70" s="231"/>
      <c r="N70" s="231"/>
      <c r="O70" s="231"/>
      <c r="P70" s="231"/>
      <c r="Q70" s="231"/>
      <c r="R70" s="231"/>
      <c r="S70" s="231"/>
    </row>
    <row r="71" spans="2:19">
      <c r="B71" s="328"/>
      <c r="C71" s="310" t="s">
        <v>34</v>
      </c>
      <c r="D71" s="294"/>
      <c r="E71" s="328"/>
      <c r="F71" s="331">
        <f>+F69+F70</f>
        <v>0</v>
      </c>
      <c r="G71" s="328"/>
      <c r="H71" s="332"/>
      <c r="I71" s="328"/>
      <c r="J71" s="241"/>
      <c r="K71" s="231"/>
      <c r="L71" s="231"/>
      <c r="M71" s="231"/>
      <c r="N71" s="231"/>
      <c r="O71" s="231"/>
      <c r="P71" s="231"/>
      <c r="Q71" s="231"/>
      <c r="R71" s="231"/>
      <c r="S71" s="231"/>
    </row>
    <row r="72" spans="2:19">
      <c r="B72" s="231"/>
      <c r="C72" s="231"/>
      <c r="D72" s="239"/>
      <c r="E72" s="231"/>
      <c r="F72" s="231"/>
      <c r="G72" s="231"/>
      <c r="H72" s="240"/>
      <c r="I72" s="231"/>
      <c r="J72" s="241"/>
      <c r="K72" s="231"/>
      <c r="L72" s="231"/>
      <c r="M72" s="231"/>
      <c r="N72" s="231"/>
      <c r="O72" s="231"/>
      <c r="P72" s="231"/>
      <c r="Q72" s="231"/>
      <c r="R72" s="231"/>
      <c r="S72" s="231"/>
    </row>
    <row r="73" spans="2:19" ht="15.75">
      <c r="B73" s="231"/>
      <c r="C73" s="243" t="str">
        <f>"D.   Determine FCR with hypothetical "&amp;F13&amp;" basis point ROE increase."</f>
        <v>D.   Determine FCR with hypothetical 0 basis point ROE increase.</v>
      </c>
      <c r="D73" s="239"/>
      <c r="E73" s="231"/>
      <c r="F73" s="231"/>
      <c r="G73" s="231"/>
      <c r="H73" s="240"/>
      <c r="I73" s="231"/>
      <c r="J73" s="241"/>
      <c r="K73" s="231"/>
      <c r="L73" s="231"/>
      <c r="M73" s="231"/>
      <c r="N73" s="231"/>
      <c r="O73" s="231"/>
      <c r="P73" s="231"/>
      <c r="Q73" s="231"/>
      <c r="R73" s="231"/>
      <c r="S73" s="231"/>
    </row>
    <row r="74" spans="2:19">
      <c r="B74" s="231"/>
      <c r="C74" s="231"/>
      <c r="D74" s="239"/>
      <c r="E74" s="231"/>
      <c r="F74" s="231"/>
      <c r="G74" s="231"/>
      <c r="H74" s="240"/>
      <c r="I74" s="231"/>
      <c r="J74" s="241"/>
      <c r="K74" s="231"/>
      <c r="L74" s="231"/>
      <c r="M74" s="231"/>
      <c r="N74" s="231"/>
      <c r="O74" s="231"/>
      <c r="P74" s="231"/>
      <c r="Q74" s="231"/>
      <c r="R74" s="231"/>
      <c r="S74" s="231"/>
    </row>
    <row r="75" spans="2:19">
      <c r="B75" s="231"/>
      <c r="C75" s="246" t="str">
        <f>+S123</f>
        <v xml:space="preserve">   Net Transmission Plant  (TCOS, ln 37)</v>
      </c>
      <c r="D75" s="239"/>
      <c r="E75" s="231"/>
      <c r="F75" s="295">
        <f>+R123</f>
        <v>818917272.78618729</v>
      </c>
      <c r="G75" s="244"/>
      <c r="H75" s="215"/>
      <c r="J75" s="194"/>
      <c r="P75" s="231"/>
      <c r="Q75" s="231"/>
      <c r="R75" s="231"/>
      <c r="S75" s="231"/>
    </row>
    <row r="76" spans="2:19">
      <c r="B76" s="231"/>
      <c r="C76" s="310" t="str">
        <f>"   Net Revenue Requirement, with "&amp;F13&amp;" Basis Point ROE increase"</f>
        <v xml:space="preserve">   Net Revenue Requirement, with 0 Basis Point ROE increase</v>
      </c>
      <c r="D76" s="239"/>
      <c r="E76" s="231"/>
      <c r="F76" s="336">
        <f>F55</f>
        <v>120680786.11239588</v>
      </c>
      <c r="H76" s="215"/>
      <c r="J76" s="194"/>
      <c r="P76" s="231"/>
      <c r="Q76" s="231"/>
      <c r="R76" s="231"/>
      <c r="S76" s="231"/>
    </row>
    <row r="77" spans="2:19">
      <c r="B77" s="231"/>
      <c r="C77" s="310" t="str">
        <f>"   FCR with "&amp;F13&amp;" Basis Point increase in ROE"</f>
        <v xml:space="preserve">   FCR with 0 Basis Point increase in ROE</v>
      </c>
      <c r="D77" s="239"/>
      <c r="E77" s="231"/>
      <c r="F77" s="337">
        <f>IF(F75=0,0,F76/F75)</f>
        <v>0.1473662726661093</v>
      </c>
      <c r="H77" s="215"/>
      <c r="J77" s="194"/>
      <c r="P77" s="231"/>
      <c r="Q77" s="231"/>
      <c r="R77" s="231"/>
      <c r="S77" s="231"/>
    </row>
    <row r="78" spans="2:19">
      <c r="B78" s="231"/>
      <c r="D78" s="239"/>
      <c r="E78" s="231"/>
      <c r="F78" s="328"/>
      <c r="H78" s="215"/>
      <c r="J78" s="194"/>
      <c r="P78" s="231"/>
      <c r="Q78" s="231"/>
      <c r="R78" s="231"/>
      <c r="S78" s="231"/>
    </row>
    <row r="79" spans="2:19">
      <c r="B79" s="231"/>
      <c r="C79" s="310" t="str">
        <f>"   Net Rev. Req, w / "&amp;F13&amp;" Basis Point ROE increase, less Dep."</f>
        <v xml:space="preserve">   Net Rev. Req, w / 0 Basis Point ROE increase, less Dep.</v>
      </c>
      <c r="D79" s="239"/>
      <c r="E79" s="231"/>
      <c r="F79" s="295">
        <f>F59</f>
        <v>93143804.218866378</v>
      </c>
      <c r="G79" s="244"/>
      <c r="H79" s="215"/>
      <c r="J79" s="194"/>
      <c r="P79" s="231"/>
      <c r="Q79" s="231"/>
      <c r="R79" s="231"/>
      <c r="S79" s="231"/>
    </row>
    <row r="80" spans="2:19">
      <c r="B80" s="231"/>
      <c r="C80" s="310" t="str">
        <f>"   FCR with "&amp;F13&amp;" Basis Point ROE increase, less Depreciation"</f>
        <v xml:space="preserve">   FCR with 0 Basis Point ROE increase, less Depreciation</v>
      </c>
      <c r="D80" s="239"/>
      <c r="E80" s="231"/>
      <c r="F80" s="337">
        <f>IF(F75=0,0,F79/F75)</f>
        <v>0.11374018757958898</v>
      </c>
      <c r="G80" s="337"/>
      <c r="H80" s="215"/>
      <c r="J80" s="194"/>
      <c r="P80" s="231"/>
      <c r="Q80" s="231"/>
      <c r="R80" s="231"/>
      <c r="S80" s="231"/>
    </row>
    <row r="81" spans="2:19">
      <c r="B81" s="231"/>
      <c r="C81" s="246" t="str">
        <f>+S124</f>
        <v xml:space="preserve">   FCR less Depreciation  (TCOS, ln 10)</v>
      </c>
      <c r="D81" s="239"/>
      <c r="E81" s="231"/>
      <c r="F81" s="338">
        <f>+R124</f>
        <v>0.11374018757958901</v>
      </c>
      <c r="H81" s="215"/>
      <c r="J81" s="194"/>
      <c r="P81" s="231"/>
      <c r="Q81" s="231"/>
      <c r="R81" s="231"/>
      <c r="S81" s="231"/>
    </row>
    <row r="82" spans="2:19">
      <c r="B82" s="231"/>
      <c r="C82" s="659" t="str">
        <f>"   Incremental FCR with "&amp;F13&amp;" Basis Point ROE increase, less Depreciation"</f>
        <v xml:space="preserve">   Incremental FCR with 0 Basis Point ROE increase, less Depreciation</v>
      </c>
      <c r="D82" s="660"/>
      <c r="E82" s="660"/>
      <c r="F82" s="337">
        <f>F80-F81</f>
        <v>0</v>
      </c>
      <c r="H82" s="215"/>
      <c r="J82" s="194"/>
      <c r="P82" s="231"/>
      <c r="Q82" s="231"/>
      <c r="R82" s="231"/>
      <c r="S82" s="231"/>
    </row>
    <row r="83" spans="2:19">
      <c r="B83" s="231"/>
      <c r="C83" s="660"/>
      <c r="D83" s="660"/>
      <c r="E83" s="660"/>
      <c r="F83" s="337"/>
      <c r="G83" s="231"/>
      <c r="H83" s="240"/>
      <c r="I83" s="231"/>
      <c r="J83" s="241"/>
      <c r="K83" s="231"/>
      <c r="L83" s="231"/>
      <c r="M83" s="231"/>
      <c r="N83" s="231"/>
      <c r="O83" s="231"/>
      <c r="P83" s="231"/>
      <c r="Q83" s="231"/>
      <c r="R83" s="231"/>
      <c r="S83" s="231"/>
    </row>
    <row r="84" spans="2:19" ht="18.75">
      <c r="B84" s="301" t="s">
        <v>35</v>
      </c>
      <c r="C84" s="302" t="s">
        <v>36</v>
      </c>
      <c r="D84" s="239"/>
      <c r="E84" s="231"/>
      <c r="F84" s="337"/>
      <c r="G84" s="231"/>
      <c r="H84" s="240"/>
      <c r="I84" s="231"/>
      <c r="J84" s="241"/>
      <c r="K84" s="231"/>
      <c r="L84" s="231"/>
      <c r="M84" s="231"/>
      <c r="N84" s="231"/>
      <c r="O84" s="231"/>
      <c r="P84" s="231"/>
      <c r="Q84" s="231"/>
      <c r="R84" s="231"/>
      <c r="S84" s="231"/>
    </row>
    <row r="85" spans="2:19" ht="12.75" customHeight="1">
      <c r="B85" s="301"/>
      <c r="C85" s="302"/>
      <c r="D85" s="239"/>
      <c r="E85" s="231"/>
      <c r="F85" s="337"/>
      <c r="G85" s="231"/>
      <c r="H85" s="240"/>
      <c r="I85" s="231"/>
      <c r="J85" s="241"/>
      <c r="K85" s="231"/>
      <c r="L85" s="231"/>
      <c r="M85" s="231"/>
      <c r="N85" s="231"/>
      <c r="O85" s="231"/>
      <c r="P85" s="231"/>
      <c r="Q85" s="231"/>
      <c r="R85" s="231"/>
      <c r="S85" s="231"/>
    </row>
    <row r="86" spans="2:19" ht="12.75" customHeight="1">
      <c r="B86" s="301"/>
      <c r="C86" s="310" t="s">
        <v>37</v>
      </c>
      <c r="D86" s="239"/>
      <c r="F86" s="332">
        <f>+R125</f>
        <v>1234439185</v>
      </c>
      <c r="G86" s="231" t="s">
        <v>283</v>
      </c>
      <c r="H86" s="240"/>
      <c r="I86" s="231"/>
      <c r="J86" s="241"/>
      <c r="K86" s="231"/>
      <c r="L86" s="231"/>
      <c r="M86" s="231"/>
      <c r="N86" s="231"/>
      <c r="O86" s="231"/>
      <c r="P86" s="231"/>
      <c r="Q86" s="231"/>
      <c r="R86" s="231"/>
      <c r="S86" s="231"/>
    </row>
    <row r="87" spans="2:19" ht="12.75" customHeight="1">
      <c r="B87" s="301"/>
      <c r="C87" s="310" t="s">
        <v>38</v>
      </c>
      <c r="D87" s="239"/>
      <c r="F87" s="339">
        <f>R126</f>
        <v>1334115703</v>
      </c>
      <c r="G87" s="231" t="s">
        <v>283</v>
      </c>
      <c r="H87" s="240"/>
      <c r="I87" s="231"/>
      <c r="J87" s="241"/>
      <c r="K87" s="231"/>
      <c r="L87" s="231"/>
      <c r="M87" s="231"/>
      <c r="N87" s="231"/>
      <c r="O87" s="231"/>
      <c r="P87" s="231"/>
      <c r="Q87" s="231"/>
      <c r="R87" s="231"/>
      <c r="S87" s="231"/>
    </row>
    <row r="88" spans="2:19">
      <c r="B88" s="231"/>
      <c r="C88" s="310"/>
      <c r="D88" s="239"/>
      <c r="F88" s="240">
        <f>+F87+F86</f>
        <v>2568554888</v>
      </c>
      <c r="G88" s="295"/>
      <c r="H88" s="240"/>
      <c r="I88" s="231"/>
      <c r="J88" s="241"/>
      <c r="K88" s="231"/>
      <c r="L88" s="231"/>
      <c r="M88" s="231"/>
      <c r="N88" s="231"/>
      <c r="O88" s="231"/>
      <c r="P88" s="231"/>
      <c r="Q88" s="231"/>
      <c r="R88" s="231"/>
      <c r="S88" s="231"/>
    </row>
    <row r="89" spans="2:19">
      <c r="B89" s="231"/>
      <c r="C89" s="310" t="str">
        <f>S127</f>
        <v>Transmission Plant Average Balance for 2022 (WS A-1 Ln 14 Col (d))</v>
      </c>
      <c r="D89" s="294"/>
      <c r="E89" s="155"/>
      <c r="F89" s="321">
        <f>+F88/2</f>
        <v>1284277444</v>
      </c>
      <c r="G89" s="340"/>
      <c r="H89" s="240"/>
      <c r="I89" s="231"/>
      <c r="J89" s="241"/>
      <c r="K89" s="231"/>
      <c r="L89" s="231"/>
      <c r="M89" s="231"/>
      <c r="N89" s="231"/>
      <c r="O89" s="231"/>
      <c r="P89" s="231"/>
      <c r="Q89" s="231"/>
      <c r="R89" s="231"/>
      <c r="S89" s="231"/>
    </row>
    <row r="90" spans="2:19">
      <c r="B90" s="231"/>
      <c r="C90" s="246" t="str">
        <f>S128</f>
        <v>Annual Depreciation Expense  (TCOS, ln 86)</v>
      </c>
      <c r="D90" s="294"/>
      <c r="E90" s="328"/>
      <c r="F90" s="321">
        <f>R128</f>
        <v>33567940.229291603</v>
      </c>
      <c r="G90" s="231"/>
      <c r="H90" s="240"/>
      <c r="I90" s="231"/>
      <c r="J90" s="241"/>
      <c r="K90" s="231"/>
      <c r="L90" s="231"/>
      <c r="M90" s="231"/>
      <c r="N90" s="231"/>
      <c r="O90" s="231"/>
      <c r="P90" s="231"/>
      <c r="Q90" s="231"/>
      <c r="R90" s="231"/>
      <c r="S90" s="231"/>
    </row>
    <row r="91" spans="2:19">
      <c r="B91" s="231"/>
      <c r="C91" s="310" t="s">
        <v>39</v>
      </c>
      <c r="D91" s="239"/>
      <c r="E91" s="231"/>
      <c r="F91" s="337">
        <f>IF(F89=0,0,F90/F89)</f>
        <v>2.6137607871349958E-2</v>
      </c>
      <c r="G91" s="231"/>
      <c r="H91" s="341"/>
      <c r="I91" s="231"/>
      <c r="J91" s="241"/>
      <c r="K91" s="231"/>
      <c r="L91" s="231"/>
      <c r="M91" s="231"/>
      <c r="N91" s="231"/>
      <c r="O91" s="231"/>
      <c r="P91" s="231"/>
      <c r="Q91" s="231"/>
      <c r="R91" s="231"/>
      <c r="S91" s="231"/>
    </row>
    <row r="92" spans="2:19">
      <c r="B92" s="231"/>
      <c r="C92" s="310" t="s">
        <v>40</v>
      </c>
      <c r="D92" s="239"/>
      <c r="E92" s="231"/>
      <c r="F92" s="342">
        <f>IF(F91=0,0,1/F91)</f>
        <v>38.259048223618173</v>
      </c>
      <c r="H92" s="240"/>
      <c r="I92" s="231"/>
      <c r="J92" s="241"/>
      <c r="K92" s="231"/>
      <c r="L92" s="231"/>
      <c r="M92" s="231"/>
      <c r="N92" s="231"/>
      <c r="O92" s="231"/>
      <c r="P92" s="231"/>
      <c r="Q92" s="231"/>
      <c r="R92" s="231"/>
      <c r="S92" s="231"/>
    </row>
    <row r="93" spans="2:19">
      <c r="B93" s="231"/>
      <c r="C93" s="310" t="s">
        <v>41</v>
      </c>
      <c r="D93" s="239"/>
      <c r="E93" s="231"/>
      <c r="F93" s="343">
        <f>ROUND(F92,0)</f>
        <v>38</v>
      </c>
      <c r="G93" s="231"/>
      <c r="H93" s="240"/>
      <c r="I93" s="231"/>
      <c r="J93" s="241"/>
      <c r="K93" s="231"/>
      <c r="L93" s="231"/>
      <c r="M93" s="231"/>
      <c r="N93" s="231"/>
      <c r="O93" s="231"/>
      <c r="P93" s="231"/>
      <c r="Q93" s="231"/>
      <c r="R93" s="231"/>
      <c r="S93" s="231"/>
    </row>
    <row r="94" spans="2:19">
      <c r="C94" s="344"/>
      <c r="D94" s="345"/>
      <c r="E94" s="345"/>
      <c r="F94" s="345"/>
      <c r="G94" s="346"/>
      <c r="H94" s="346"/>
      <c r="I94" s="347"/>
      <c r="J94" s="347"/>
      <c r="K94" s="347"/>
      <c r="L94" s="347"/>
      <c r="M94" s="347"/>
      <c r="N94" s="347"/>
      <c r="O94" s="241"/>
      <c r="P94" s="241"/>
      <c r="Q94" s="231"/>
      <c r="R94" s="231"/>
      <c r="S94" s="231"/>
    </row>
    <row r="95" spans="2:19">
      <c r="C95" s="344"/>
      <c r="D95" s="345"/>
      <c r="E95" s="345"/>
      <c r="F95" s="345"/>
      <c r="G95" s="346"/>
      <c r="H95" s="346"/>
      <c r="I95" s="347"/>
      <c r="J95" s="347"/>
      <c r="K95" s="347"/>
      <c r="L95" s="347"/>
      <c r="M95" s="347"/>
      <c r="N95" s="347"/>
      <c r="O95" s="241"/>
      <c r="P95" s="241"/>
      <c r="Q95" s="231"/>
      <c r="R95" s="231"/>
      <c r="S95" s="231"/>
    </row>
    <row r="96" spans="2:19">
      <c r="J96" s="194"/>
      <c r="P96" s="231"/>
      <c r="Q96" s="231"/>
      <c r="R96" s="231"/>
      <c r="S96" s="231"/>
    </row>
    <row r="97" spans="3:19">
      <c r="J97" s="194"/>
      <c r="P97" s="231"/>
      <c r="Q97" s="231"/>
      <c r="R97" s="348" t="s">
        <v>126</v>
      </c>
      <c r="S97" s="148" t="s">
        <v>127</v>
      </c>
    </row>
    <row r="98" spans="3:19">
      <c r="J98" s="194"/>
      <c r="P98" s="231"/>
      <c r="Q98" s="231"/>
    </row>
    <row r="99" spans="3:19">
      <c r="C99" s="238" t="s">
        <v>122</v>
      </c>
      <c r="J99" s="194"/>
      <c r="L99" s="238" t="s">
        <v>121</v>
      </c>
      <c r="P99" s="231"/>
      <c r="Q99" s="231"/>
    </row>
    <row r="100" spans="3:19">
      <c r="J100" s="194"/>
      <c r="P100" s="231"/>
      <c r="Q100" s="231"/>
      <c r="S100" s="232" t="s">
        <v>119</v>
      </c>
    </row>
    <row r="101" spans="3:19">
      <c r="J101" s="194"/>
      <c r="P101" s="231"/>
      <c r="Q101" s="231"/>
      <c r="R101" s="348" t="s">
        <v>115</v>
      </c>
      <c r="S101" s="202" t="s">
        <v>120</v>
      </c>
    </row>
    <row r="102" spans="3:19" ht="13.5" thickBot="1">
      <c r="J102" s="194"/>
      <c r="P102" s="231"/>
      <c r="Q102" s="231"/>
      <c r="R102" s="349" t="s">
        <v>142</v>
      </c>
    </row>
    <row r="103" spans="3:19">
      <c r="J103" s="194"/>
      <c r="P103" s="231"/>
      <c r="Q103" s="231"/>
      <c r="R103" s="350" t="s">
        <v>289</v>
      </c>
      <c r="S103" s="351" t="s">
        <v>143</v>
      </c>
    </row>
    <row r="104" spans="3:19">
      <c r="J104" s="194"/>
      <c r="P104" s="231"/>
      <c r="Q104" s="231"/>
      <c r="R104" s="352">
        <v>2024</v>
      </c>
      <c r="S104" s="353" t="s">
        <v>355</v>
      </c>
    </row>
    <row r="105" spans="3:19">
      <c r="J105" s="194"/>
      <c r="P105" s="231"/>
      <c r="Q105" s="231"/>
      <c r="R105" s="648">
        <v>0.105</v>
      </c>
      <c r="S105" s="353" t="s">
        <v>356</v>
      </c>
    </row>
    <row r="106" spans="3:19">
      <c r="J106" s="194"/>
      <c r="P106" s="231"/>
      <c r="Q106" s="231"/>
      <c r="R106" s="354">
        <v>0</v>
      </c>
      <c r="S106" s="353" t="s">
        <v>1</v>
      </c>
    </row>
    <row r="107" spans="3:19">
      <c r="J107" s="194"/>
      <c r="P107" s="231"/>
      <c r="Q107" s="231"/>
      <c r="R107" s="355">
        <v>0.48024726615946089</v>
      </c>
      <c r="S107" s="356" t="s">
        <v>109</v>
      </c>
    </row>
    <row r="108" spans="3:19">
      <c r="J108" s="194"/>
      <c r="P108" s="231"/>
      <c r="Q108" s="231"/>
      <c r="R108" s="355">
        <v>4.164358942050251E-2</v>
      </c>
      <c r="S108" s="356" t="s">
        <v>110</v>
      </c>
    </row>
    <row r="109" spans="3:19">
      <c r="J109" s="194"/>
      <c r="P109" s="231"/>
      <c r="Q109" s="231"/>
      <c r="R109" s="355">
        <v>0</v>
      </c>
      <c r="S109" s="356" t="s">
        <v>111</v>
      </c>
    </row>
    <row r="110" spans="3:19">
      <c r="J110" s="194"/>
      <c r="P110" s="231"/>
      <c r="Q110" s="231"/>
      <c r="R110" s="355">
        <v>0</v>
      </c>
      <c r="S110" s="356" t="s">
        <v>112</v>
      </c>
    </row>
    <row r="111" spans="3:19">
      <c r="J111" s="194"/>
      <c r="P111" s="231"/>
      <c r="Q111" s="231"/>
      <c r="R111" s="355">
        <v>0.51975273384053922</v>
      </c>
      <c r="S111" s="357" t="s">
        <v>113</v>
      </c>
    </row>
    <row r="112" spans="3:19">
      <c r="J112" s="194"/>
      <c r="P112" s="231"/>
      <c r="Q112" s="231"/>
      <c r="R112" s="358">
        <v>683940833.71235883</v>
      </c>
      <c r="S112" s="359" t="s">
        <v>357</v>
      </c>
    </row>
    <row r="113" spans="3:19">
      <c r="J113" s="194"/>
      <c r="P113" s="231"/>
      <c r="Q113" s="231"/>
      <c r="R113" s="360">
        <v>0.24025699999999994</v>
      </c>
      <c r="S113" s="361" t="s">
        <v>358</v>
      </c>
    </row>
    <row r="114" spans="3:19">
      <c r="J114" s="194"/>
      <c r="P114" s="231"/>
      <c r="Q114" s="231"/>
      <c r="R114" s="358">
        <v>-319531.69580624782</v>
      </c>
      <c r="S114" s="361" t="s">
        <v>359</v>
      </c>
    </row>
    <row r="115" spans="3:19">
      <c r="J115" s="194"/>
      <c r="P115" s="231"/>
      <c r="Q115" s="231"/>
      <c r="R115" s="358">
        <v>-1166965.6413902158</v>
      </c>
      <c r="S115" s="361" t="s">
        <v>324</v>
      </c>
    </row>
    <row r="116" spans="3:19">
      <c r="J116" s="194"/>
      <c r="P116" s="231"/>
      <c r="Q116" s="231"/>
      <c r="R116" s="358">
        <v>85069.571157615137</v>
      </c>
      <c r="S116" s="361" t="s">
        <v>360</v>
      </c>
    </row>
    <row r="117" spans="3:19">
      <c r="C117" s="231"/>
      <c r="D117" s="239"/>
      <c r="E117" s="231"/>
      <c r="F117" s="231"/>
      <c r="G117" s="231"/>
      <c r="H117" s="240"/>
      <c r="I117" s="231"/>
      <c r="J117" s="241"/>
      <c r="K117" s="231"/>
      <c r="L117" s="231"/>
      <c r="M117" s="231"/>
      <c r="N117" s="231"/>
      <c r="O117" s="231"/>
      <c r="P117" s="231"/>
      <c r="Q117" s="231"/>
      <c r="R117" s="358">
        <v>120680786.1123959</v>
      </c>
      <c r="S117" s="361" t="s">
        <v>361</v>
      </c>
    </row>
    <row r="118" spans="3:19">
      <c r="C118" s="231"/>
      <c r="D118" s="239"/>
      <c r="E118" s="231"/>
      <c r="F118" s="231"/>
      <c r="G118" s="231"/>
      <c r="H118" s="240"/>
      <c r="I118" s="231"/>
      <c r="J118" s="241"/>
      <c r="K118" s="231"/>
      <c r="L118" s="231"/>
      <c r="M118" s="231"/>
      <c r="N118" s="231"/>
      <c r="O118" s="231"/>
      <c r="P118" s="231"/>
      <c r="Q118" s="231"/>
      <c r="R118" s="358">
        <v>51003695.582680166</v>
      </c>
      <c r="S118" s="361" t="s">
        <v>362</v>
      </c>
    </row>
    <row r="119" spans="3:19">
      <c r="C119" s="231"/>
      <c r="D119" s="239"/>
      <c r="E119" s="231"/>
      <c r="F119" s="231"/>
      <c r="G119" s="231"/>
      <c r="H119" s="240"/>
      <c r="I119" s="231"/>
      <c r="J119" s="241"/>
      <c r="K119" s="231"/>
      <c r="L119" s="231"/>
      <c r="M119" s="231"/>
      <c r="N119" s="231"/>
      <c r="O119" s="231"/>
      <c r="P119" s="231"/>
      <c r="Q119" s="231"/>
      <c r="R119" s="358">
        <v>10402157.929766124</v>
      </c>
      <c r="S119" s="361" t="s">
        <v>363</v>
      </c>
    </row>
    <row r="120" spans="3:19">
      <c r="C120" s="231"/>
      <c r="D120" s="239"/>
      <c r="E120" s="231"/>
      <c r="F120" s="231"/>
      <c r="G120" s="231"/>
      <c r="H120" s="240"/>
      <c r="I120" s="231"/>
      <c r="J120" s="241"/>
      <c r="K120" s="231"/>
      <c r="L120" s="231"/>
      <c r="M120" s="231"/>
      <c r="N120" s="231"/>
      <c r="O120" s="231"/>
      <c r="P120" s="231"/>
      <c r="Q120" s="231"/>
      <c r="R120" s="358">
        <v>0</v>
      </c>
      <c r="S120" s="361" t="s">
        <v>364</v>
      </c>
    </row>
    <row r="121" spans="3:19">
      <c r="C121" s="231"/>
      <c r="D121" s="239"/>
      <c r="E121" s="231"/>
      <c r="F121" s="231"/>
      <c r="G121" s="231"/>
      <c r="H121" s="240"/>
      <c r="I121" s="231"/>
      <c r="J121" s="241"/>
      <c r="K121" s="231"/>
      <c r="L121" s="231"/>
      <c r="M121" s="231"/>
      <c r="N121" s="231"/>
      <c r="O121" s="231"/>
      <c r="P121" s="231"/>
      <c r="Q121" s="231"/>
      <c r="R121" s="358">
        <v>27536981.893529497</v>
      </c>
      <c r="S121" s="361" t="s">
        <v>365</v>
      </c>
    </row>
    <row r="122" spans="3:19">
      <c r="C122" s="231"/>
      <c r="D122" s="239"/>
      <c r="E122" s="231"/>
      <c r="F122" s="231"/>
      <c r="G122" s="231"/>
      <c r="H122" s="240"/>
      <c r="I122" s="231"/>
      <c r="J122" s="241"/>
      <c r="K122" s="231"/>
      <c r="L122" s="231"/>
      <c r="M122" s="231"/>
      <c r="N122" s="231"/>
      <c r="O122" s="231"/>
      <c r="P122" s="231"/>
      <c r="Q122" s="231"/>
      <c r="R122" s="360">
        <v>0</v>
      </c>
      <c r="S122" s="361" t="s">
        <v>118</v>
      </c>
    </row>
    <row r="123" spans="3:19">
      <c r="C123" s="231"/>
      <c r="D123" s="239"/>
      <c r="E123" s="231"/>
      <c r="F123" s="231"/>
      <c r="G123" s="231"/>
      <c r="H123" s="240"/>
      <c r="I123" s="231"/>
      <c r="J123" s="241"/>
      <c r="K123" s="231"/>
      <c r="L123" s="231"/>
      <c r="M123" s="231"/>
      <c r="N123" s="231"/>
      <c r="O123" s="231"/>
      <c r="P123" s="231"/>
      <c r="Q123" s="231"/>
      <c r="R123" s="358">
        <v>818917272.78618729</v>
      </c>
      <c r="S123" s="361" t="s">
        <v>329</v>
      </c>
    </row>
    <row r="124" spans="3:19">
      <c r="C124" s="231"/>
      <c r="D124" s="239"/>
      <c r="E124" s="231"/>
      <c r="F124" s="231"/>
      <c r="G124" s="231"/>
      <c r="H124" s="240"/>
      <c r="I124" s="231"/>
      <c r="J124" s="241"/>
      <c r="K124" s="231"/>
      <c r="L124" s="231"/>
      <c r="M124" s="231"/>
      <c r="N124" s="231"/>
      <c r="O124" s="231"/>
      <c r="P124" s="231"/>
      <c r="Q124" s="231"/>
      <c r="R124" s="362">
        <v>0.11374018757958901</v>
      </c>
      <c r="S124" s="363" t="s">
        <v>366</v>
      </c>
    </row>
    <row r="125" spans="3:19">
      <c r="C125" s="231"/>
      <c r="D125" s="239"/>
      <c r="E125" s="231"/>
      <c r="F125" s="231"/>
      <c r="G125" s="231"/>
      <c r="H125" s="240"/>
      <c r="I125" s="231"/>
      <c r="J125" s="241"/>
      <c r="K125" s="231"/>
      <c r="L125" s="231"/>
      <c r="M125" s="231"/>
      <c r="N125" s="231"/>
      <c r="O125" s="231"/>
      <c r="P125" s="231"/>
      <c r="Q125" s="231"/>
      <c r="R125" s="364">
        <v>1234439185</v>
      </c>
      <c r="S125" s="356" t="s">
        <v>37</v>
      </c>
    </row>
    <row r="126" spans="3:19">
      <c r="C126" s="231"/>
      <c r="D126" s="239"/>
      <c r="E126" s="231"/>
      <c r="F126" s="231"/>
      <c r="G126" s="231"/>
      <c r="H126" s="240"/>
      <c r="I126" s="231"/>
      <c r="J126" s="241"/>
      <c r="K126" s="231"/>
      <c r="L126" s="231"/>
      <c r="M126" s="231"/>
      <c r="N126" s="231"/>
      <c r="O126" s="231"/>
      <c r="P126" s="231"/>
      <c r="Q126" s="231"/>
      <c r="R126" s="364">
        <v>1334115703</v>
      </c>
      <c r="S126" s="357" t="s">
        <v>38</v>
      </c>
    </row>
    <row r="127" spans="3:19">
      <c r="C127" s="231"/>
      <c r="D127" s="239"/>
      <c r="E127" s="231"/>
      <c r="F127" s="231"/>
      <c r="G127" s="231"/>
      <c r="H127" s="240"/>
      <c r="I127" s="231"/>
      <c r="J127" s="241"/>
      <c r="K127" s="231"/>
      <c r="L127" s="231"/>
      <c r="M127" s="231"/>
      <c r="N127" s="231"/>
      <c r="O127" s="231"/>
      <c r="P127" s="231"/>
      <c r="Q127" s="231"/>
      <c r="R127" s="364">
        <v>1271506369</v>
      </c>
      <c r="S127" s="365" t="s">
        <v>380</v>
      </c>
    </row>
    <row r="128" spans="3:19" ht="13.5" thickBot="1">
      <c r="C128" s="231"/>
      <c r="D128" s="239"/>
      <c r="E128" s="231"/>
      <c r="F128" s="231"/>
      <c r="G128" s="231"/>
      <c r="H128" s="240"/>
      <c r="I128" s="231"/>
      <c r="J128" s="241"/>
      <c r="K128" s="231"/>
      <c r="L128" s="231"/>
      <c r="M128" s="231"/>
      <c r="N128" s="231"/>
      <c r="O128" s="231"/>
      <c r="P128" s="231"/>
      <c r="Q128" s="231"/>
      <c r="R128" s="366">
        <v>33567940.229291603</v>
      </c>
      <c r="S128" s="367" t="s">
        <v>367</v>
      </c>
    </row>
    <row r="129" spans="3:19">
      <c r="C129" s="231"/>
      <c r="D129" s="239"/>
      <c r="E129" s="231"/>
      <c r="F129" s="231"/>
      <c r="G129" s="231"/>
      <c r="H129" s="240"/>
      <c r="I129" s="231"/>
      <c r="J129" s="241"/>
      <c r="K129" s="231"/>
      <c r="L129" s="231"/>
      <c r="M129" s="231"/>
      <c r="N129" s="231"/>
      <c r="O129" s="231"/>
      <c r="P129" s="231"/>
      <c r="Q129" s="231"/>
      <c r="R129" s="231"/>
      <c r="S129" s="231"/>
    </row>
    <row r="130" spans="3:19">
      <c r="C130" s="231"/>
      <c r="D130" s="239"/>
      <c r="E130" s="231"/>
      <c r="F130" s="231"/>
      <c r="G130" s="231"/>
      <c r="H130" s="240"/>
      <c r="I130" s="231"/>
      <c r="J130" s="241"/>
      <c r="K130" s="231"/>
      <c r="L130" s="231"/>
      <c r="M130" s="231"/>
      <c r="N130" s="231"/>
      <c r="O130" s="231"/>
      <c r="P130" s="231"/>
      <c r="Q130" s="231"/>
      <c r="R130" s="348" t="s">
        <v>116</v>
      </c>
      <c r="S130" s="231" t="s">
        <v>130</v>
      </c>
    </row>
    <row r="131" spans="3:19" ht="13.5" thickBot="1">
      <c r="C131" s="310"/>
      <c r="D131" s="319"/>
      <c r="E131" s="310"/>
      <c r="F131" s="310"/>
      <c r="G131" s="310"/>
      <c r="H131" s="321"/>
      <c r="I131" s="231"/>
      <c r="J131" s="241"/>
      <c r="K131" s="231"/>
      <c r="L131" s="231"/>
      <c r="M131" s="231"/>
      <c r="N131" s="231"/>
      <c r="O131" s="231"/>
      <c r="P131" s="231"/>
      <c r="Q131" s="231"/>
      <c r="R131" s="349" t="s">
        <v>114</v>
      </c>
      <c r="S131" s="231"/>
    </row>
    <row r="132" spans="3:19">
      <c r="C132" s="310"/>
      <c r="D132" s="319"/>
      <c r="E132" s="310"/>
      <c r="F132" s="310"/>
      <c r="G132" s="310"/>
      <c r="H132" s="321"/>
      <c r="I132" s="231"/>
      <c r="J132" s="241"/>
      <c r="K132" s="231"/>
      <c r="L132" s="231"/>
      <c r="M132" s="231"/>
      <c r="N132" s="231"/>
      <c r="O132" s="231"/>
      <c r="P132" s="231"/>
      <c r="Q132" s="231"/>
      <c r="R132" s="368">
        <f>+M19</f>
        <v>8557318.5351672061</v>
      </c>
      <c r="S132" s="231" t="str">
        <f>+K19&amp;" "&amp;M17</f>
        <v>PROJECTED YEAR Rev Require</v>
      </c>
    </row>
    <row r="133" spans="3:19">
      <c r="C133" s="310"/>
      <c r="D133" s="319"/>
      <c r="E133" s="310"/>
      <c r="F133" s="310"/>
      <c r="G133" s="310"/>
      <c r="H133" s="321"/>
      <c r="I133" s="231"/>
      <c r="J133" s="241"/>
      <c r="K133" s="231"/>
      <c r="L133" s="231"/>
      <c r="M133" s="231"/>
      <c r="N133" s="231"/>
      <c r="O133" s="231"/>
      <c r="P133" s="231"/>
      <c r="Q133" s="231"/>
      <c r="R133" s="369">
        <f>+N19</f>
        <v>8557318.5351672061</v>
      </c>
      <c r="S133" s="231" t="str">
        <f>K19&amp;" "&amp;N17</f>
        <v>PROJECTED YEAR  W Incentives</v>
      </c>
    </row>
    <row r="134" spans="3:19" ht="13.5" thickBot="1">
      <c r="C134" s="310"/>
      <c r="D134" s="319"/>
      <c r="E134" s="310"/>
      <c r="F134" s="310"/>
      <c r="G134" s="310"/>
      <c r="H134" s="321"/>
      <c r="I134" s="231"/>
      <c r="J134" s="241"/>
      <c r="K134" s="231"/>
      <c r="L134" s="231"/>
      <c r="M134" s="231"/>
      <c r="N134" s="231"/>
      <c r="O134" s="231"/>
      <c r="P134" s="231"/>
      <c r="Q134" s="231"/>
      <c r="R134" s="370">
        <f>+O19</f>
        <v>0</v>
      </c>
      <c r="S134" s="231" t="str">
        <f>K19&amp;" "&amp;O17</f>
        <v>PROJECTED YEAR Incentive Amounts</v>
      </c>
    </row>
    <row r="135" spans="3:19">
      <c r="C135" s="310"/>
      <c r="D135" s="319"/>
      <c r="E135" s="310"/>
      <c r="F135" s="310"/>
      <c r="G135" s="310"/>
      <c r="H135" s="321"/>
      <c r="I135" s="231"/>
      <c r="J135" s="241"/>
      <c r="K135" s="231"/>
      <c r="L135" s="231"/>
      <c r="M135" s="231"/>
      <c r="N135" s="231"/>
      <c r="O135" s="231"/>
      <c r="P135" s="231"/>
      <c r="Q135" s="231"/>
      <c r="R135" s="231"/>
      <c r="S135" s="231"/>
    </row>
    <row r="136" spans="3:19" ht="12.75" customHeight="1">
      <c r="R136" s="231"/>
      <c r="S136" s="231"/>
    </row>
    <row r="137" spans="3:19" ht="12.75" customHeight="1">
      <c r="R137" s="348" t="s">
        <v>128</v>
      </c>
      <c r="S137" s="232" t="s">
        <v>129</v>
      </c>
    </row>
  </sheetData>
  <mergeCells count="8">
    <mergeCell ref="K15:O16"/>
    <mergeCell ref="C8:H8"/>
    <mergeCell ref="C82:E83"/>
    <mergeCell ref="A1:J1"/>
    <mergeCell ref="A2:J2"/>
    <mergeCell ref="A3:J3"/>
    <mergeCell ref="A5:J5"/>
    <mergeCell ref="A4:J4"/>
  </mergeCells>
  <phoneticPr fontId="0" type="noConversion"/>
  <printOptions horizontalCentered="1"/>
  <pageMargins left="0.25" right="0.25" top="0.75" bottom="0.25" header="0.25" footer="0.5"/>
  <pageSetup scale="41" fitToHeight="2" orientation="landscape" horizontalDpi="1200" verticalDpi="1200" r:id="rId1"/>
  <headerFooter alignWithMargins="0">
    <oddHeader xml:space="preserve">&amp;R&amp;16AEP - SPP Formula Rate
PSO TCOS - WS F
Page: &amp;P of &amp;N
</oddHeader>
    <oddFooter xml:space="preserve">&amp;C &amp;R 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66"/>
  <dimension ref="A1:P162"/>
  <sheetViews>
    <sheetView topLeftCell="A93" zoomScaleNormal="100" zoomScaleSheetLayoutView="80" workbookViewId="0">
      <selection activeCell="D99" sqref="D99:I106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17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196177.92552631578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196177.92552631578</v>
      </c>
      <c r="O6" s="231"/>
      <c r="P6" s="231"/>
    </row>
    <row r="7" spans="1:16" ht="13.5" thickBot="1">
      <c r="C7" s="429" t="s">
        <v>46</v>
      </c>
      <c r="D7" s="597" t="s">
        <v>265</v>
      </c>
      <c r="E7" s="598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290</v>
      </c>
      <c r="E9" s="575" t="s">
        <v>291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1692023.1700000002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2015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12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44526.92552631579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2015</v>
      </c>
      <c r="D17" s="582">
        <v>1500000</v>
      </c>
      <c r="E17" s="606">
        <v>0</v>
      </c>
      <c r="F17" s="582">
        <v>1500000</v>
      </c>
      <c r="G17" s="606">
        <v>206807.48514960654</v>
      </c>
      <c r="H17" s="585">
        <v>206807.48514960654</v>
      </c>
      <c r="I17" s="473">
        <v>0</v>
      </c>
      <c r="J17" s="473"/>
      <c r="K17" s="474">
        <f t="shared" ref="K17:K22" si="0">G17</f>
        <v>206807.48514960654</v>
      </c>
      <c r="L17" s="601">
        <f t="shared" ref="L17:L22" si="1">IF(K17&lt;&gt;0,+G17-K17,0)</f>
        <v>0</v>
      </c>
      <c r="M17" s="474">
        <f t="shared" ref="M17:M22" si="2">H17</f>
        <v>206807.48514960654</v>
      </c>
      <c r="N17" s="476">
        <f>IF(M17&lt;&gt;0,+H17-M17,0)</f>
        <v>0</v>
      </c>
      <c r="O17" s="473">
        <f>+N17-L17</f>
        <v>0</v>
      </c>
      <c r="P17" s="241"/>
    </row>
    <row r="18" spans="2:16">
      <c r="B18" s="160" t="str">
        <f>IF(D18=F17,"","IU")</f>
        <v>IU</v>
      </c>
      <c r="C18" s="470">
        <f>IF(D11="","-",+C17+1)</f>
        <v>2016</v>
      </c>
      <c r="D18" s="582">
        <v>1777912</v>
      </c>
      <c r="E18" s="583">
        <v>34190.615384615383</v>
      </c>
      <c r="F18" s="582">
        <v>1743721.3846153845</v>
      </c>
      <c r="G18" s="583">
        <v>262896.61538461538</v>
      </c>
      <c r="H18" s="585">
        <v>262896.61538461538</v>
      </c>
      <c r="I18" s="473">
        <f>H18-G18</f>
        <v>0</v>
      </c>
      <c r="J18" s="473"/>
      <c r="K18" s="474">
        <f t="shared" si="0"/>
        <v>262896.61538461538</v>
      </c>
      <c r="L18" s="601">
        <f t="shared" si="1"/>
        <v>0</v>
      </c>
      <c r="M18" s="474">
        <f t="shared" si="2"/>
        <v>262896.61538461538</v>
      </c>
      <c r="N18" s="476">
        <f>IF(M18&lt;&gt;0,+H18-M18,0)</f>
        <v>0</v>
      </c>
      <c r="O18" s="473">
        <f>+N18-L18</f>
        <v>0</v>
      </c>
      <c r="P18" s="241"/>
    </row>
    <row r="19" spans="2:16">
      <c r="B19" s="160" t="str">
        <f>IF(D19=F18,"","IU")</f>
        <v>IU</v>
      </c>
      <c r="C19" s="470">
        <f>IF(D11="","-",+C18+1)</f>
        <v>2017</v>
      </c>
      <c r="D19" s="582">
        <v>1657832.3846153845</v>
      </c>
      <c r="E19" s="583">
        <v>36783.108695652176</v>
      </c>
      <c r="F19" s="582">
        <v>1621049.2759197324</v>
      </c>
      <c r="G19" s="583">
        <v>243079.10869565216</v>
      </c>
      <c r="H19" s="585">
        <v>243079.10869565216</v>
      </c>
      <c r="I19" s="473">
        <f t="shared" ref="I19:I72" si="3">H19-G19</f>
        <v>0</v>
      </c>
      <c r="J19" s="473"/>
      <c r="K19" s="474">
        <f t="shared" si="0"/>
        <v>243079.10869565216</v>
      </c>
      <c r="L19" s="601">
        <f t="shared" si="1"/>
        <v>0</v>
      </c>
      <c r="M19" s="474">
        <f t="shared" si="2"/>
        <v>243079.10869565216</v>
      </c>
      <c r="N19" s="476">
        <f>IF(M19&lt;&gt;0,+H19-M19,0)</f>
        <v>0</v>
      </c>
      <c r="O19" s="473">
        <f>+N19-L19</f>
        <v>0</v>
      </c>
      <c r="P19" s="241"/>
    </row>
    <row r="20" spans="2:16">
      <c r="B20" s="160" t="str">
        <f t="shared" ref="B20:B72" si="4">IF(D20=F19,"","IU")</f>
        <v/>
      </c>
      <c r="C20" s="470">
        <f>IF(D11="","-",+C19+1)</f>
        <v>2018</v>
      </c>
      <c r="D20" s="582">
        <v>1621049.2759197324</v>
      </c>
      <c r="E20" s="583">
        <v>37600.511111111111</v>
      </c>
      <c r="F20" s="582">
        <v>1583448.7648086213</v>
      </c>
      <c r="G20" s="583">
        <v>229484.15653998824</v>
      </c>
      <c r="H20" s="585">
        <v>229484.15653998824</v>
      </c>
      <c r="I20" s="473">
        <f t="shared" si="3"/>
        <v>0</v>
      </c>
      <c r="J20" s="473"/>
      <c r="K20" s="474">
        <f t="shared" si="0"/>
        <v>229484.15653998824</v>
      </c>
      <c r="L20" s="601">
        <f t="shared" si="1"/>
        <v>0</v>
      </c>
      <c r="M20" s="474">
        <f t="shared" si="2"/>
        <v>229484.15653998824</v>
      </c>
      <c r="N20" s="476">
        <f>IF(M20&lt;&gt;0,+H20-M20,0)</f>
        <v>0</v>
      </c>
      <c r="O20" s="473">
        <f>+N20-L20</f>
        <v>0</v>
      </c>
      <c r="P20" s="241"/>
    </row>
    <row r="21" spans="2:16">
      <c r="B21" s="160" t="str">
        <f t="shared" si="4"/>
        <v/>
      </c>
      <c r="C21" s="470">
        <f>IF(D11="","-",+C20+1)</f>
        <v>2019</v>
      </c>
      <c r="D21" s="582">
        <v>1583448.7648086213</v>
      </c>
      <c r="E21" s="583">
        <v>42300.574999999997</v>
      </c>
      <c r="F21" s="582">
        <v>1541148.1898086213</v>
      </c>
      <c r="G21" s="583">
        <v>216741.56005757477</v>
      </c>
      <c r="H21" s="585">
        <v>216741.56005757477</v>
      </c>
      <c r="I21" s="473">
        <f t="shared" si="3"/>
        <v>0</v>
      </c>
      <c r="J21" s="473"/>
      <c r="K21" s="474">
        <f t="shared" si="0"/>
        <v>216741.56005757477</v>
      </c>
      <c r="L21" s="601">
        <f t="shared" si="1"/>
        <v>0</v>
      </c>
      <c r="M21" s="474">
        <f t="shared" si="2"/>
        <v>216741.56005757477</v>
      </c>
      <c r="N21" s="476">
        <f t="shared" ref="N21:N72" si="5">IF(M21&lt;&gt;0,+H21-M21,0)</f>
        <v>0</v>
      </c>
      <c r="O21" s="476">
        <f t="shared" ref="O21:O72" si="6">+N21-L21</f>
        <v>0</v>
      </c>
      <c r="P21" s="241"/>
    </row>
    <row r="22" spans="2:16">
      <c r="B22" s="160" t="str">
        <f t="shared" si="4"/>
        <v>IU</v>
      </c>
      <c r="C22" s="470">
        <f>IF(D11="","-",+C21+1)</f>
        <v>2020</v>
      </c>
      <c r="D22" s="582">
        <v>1545848.2536975101</v>
      </c>
      <c r="E22" s="583">
        <v>40286.261904761908</v>
      </c>
      <c r="F22" s="582">
        <v>1505561.9917927482</v>
      </c>
      <c r="G22" s="583">
        <v>205069.7033172223</v>
      </c>
      <c r="H22" s="585">
        <v>205069.7033172223</v>
      </c>
      <c r="I22" s="473">
        <f t="shared" si="3"/>
        <v>0</v>
      </c>
      <c r="J22" s="473"/>
      <c r="K22" s="474">
        <f t="shared" si="0"/>
        <v>205069.7033172223</v>
      </c>
      <c r="L22" s="601">
        <f t="shared" si="1"/>
        <v>0</v>
      </c>
      <c r="M22" s="474">
        <f t="shared" si="2"/>
        <v>205069.7033172223</v>
      </c>
      <c r="N22" s="476">
        <f t="shared" si="5"/>
        <v>0</v>
      </c>
      <c r="O22" s="476">
        <f t="shared" si="6"/>
        <v>0</v>
      </c>
      <c r="P22" s="241"/>
    </row>
    <row r="23" spans="2:16">
      <c r="B23" s="160" t="str">
        <f t="shared" si="4"/>
        <v>IU</v>
      </c>
      <c r="C23" s="470">
        <f>IF(D11="","-",+C22+1)</f>
        <v>2021</v>
      </c>
      <c r="D23" s="582">
        <v>1500861.9279038594</v>
      </c>
      <c r="E23" s="583">
        <v>39349.372093023259</v>
      </c>
      <c r="F23" s="582">
        <v>1461512.5558108361</v>
      </c>
      <c r="G23" s="583">
        <v>196932.37209302327</v>
      </c>
      <c r="H23" s="585">
        <v>196932.37209302327</v>
      </c>
      <c r="I23" s="473">
        <f t="shared" si="3"/>
        <v>0</v>
      </c>
      <c r="J23" s="473"/>
      <c r="K23" s="474">
        <f t="shared" ref="K23" si="7">G23</f>
        <v>196932.37209302327</v>
      </c>
      <c r="L23" s="601">
        <f t="shared" ref="L23" si="8">IF(K23&lt;&gt;0,+G23-K23,0)</f>
        <v>0</v>
      </c>
      <c r="M23" s="474">
        <f t="shared" ref="M23" si="9">H23</f>
        <v>196932.37209302327</v>
      </c>
      <c r="N23" s="476">
        <f t="shared" si="5"/>
        <v>0</v>
      </c>
      <c r="O23" s="476">
        <f t="shared" si="6"/>
        <v>0</v>
      </c>
      <c r="P23" s="241"/>
    </row>
    <row r="24" spans="2:16">
      <c r="B24" s="160" t="str">
        <f t="shared" si="4"/>
        <v/>
      </c>
      <c r="C24" s="470">
        <f>IF(D11="","-",+C23+1)</f>
        <v>2022</v>
      </c>
      <c r="D24" s="582">
        <v>1461512.5558108361</v>
      </c>
      <c r="E24" s="583">
        <v>40286.261904761908</v>
      </c>
      <c r="F24" s="582">
        <v>1421226.2939060743</v>
      </c>
      <c r="G24" s="583">
        <v>193510.26190476189</v>
      </c>
      <c r="H24" s="585">
        <v>193510.26190476189</v>
      </c>
      <c r="I24" s="473">
        <f t="shared" si="3"/>
        <v>0</v>
      </c>
      <c r="J24" s="473"/>
      <c r="K24" s="474">
        <f t="shared" ref="K24" si="10">G24</f>
        <v>193510.26190476189</v>
      </c>
      <c r="L24" s="601">
        <f t="shared" ref="L24" si="11">IF(K24&lt;&gt;0,+G24-K24,0)</f>
        <v>0</v>
      </c>
      <c r="M24" s="474">
        <f t="shared" ref="M24" si="12">H24</f>
        <v>193510.26190476189</v>
      </c>
      <c r="N24" s="476">
        <f t="shared" si="5"/>
        <v>0</v>
      </c>
      <c r="O24" s="476">
        <f t="shared" si="6"/>
        <v>0</v>
      </c>
      <c r="P24" s="241"/>
    </row>
    <row r="25" spans="2:16">
      <c r="B25" s="160" t="str">
        <f t="shared" si="4"/>
        <v>IU</v>
      </c>
      <c r="C25" s="470">
        <f>IF(D11="","-",+C24+1)</f>
        <v>2023</v>
      </c>
      <c r="D25" s="582">
        <v>1421226.4639060744</v>
      </c>
      <c r="E25" s="583">
        <v>43385.209487179491</v>
      </c>
      <c r="F25" s="582">
        <v>1377841.2544188949</v>
      </c>
      <c r="G25" s="583">
        <v>207843.2094871795</v>
      </c>
      <c r="H25" s="585">
        <v>207843.2094871795</v>
      </c>
      <c r="I25" s="473">
        <f t="shared" si="3"/>
        <v>0</v>
      </c>
      <c r="J25" s="473"/>
      <c r="K25" s="474">
        <f t="shared" ref="K25" si="13">G25</f>
        <v>207843.2094871795</v>
      </c>
      <c r="L25" s="601">
        <f t="shared" ref="L25" si="14">IF(K25&lt;&gt;0,+G25-K25,0)</f>
        <v>0</v>
      </c>
      <c r="M25" s="474">
        <f t="shared" ref="M25" si="15">H25</f>
        <v>207843.2094871795</v>
      </c>
      <c r="N25" s="476">
        <f t="shared" ref="N25" si="16">IF(M25&lt;&gt;0,+H25-M25,0)</f>
        <v>0</v>
      </c>
      <c r="O25" s="476">
        <f t="shared" ref="O25" si="17">+N25-L25</f>
        <v>0</v>
      </c>
      <c r="P25" s="241"/>
    </row>
    <row r="26" spans="2:16">
      <c r="B26" s="160" t="str">
        <f t="shared" si="4"/>
        <v/>
      </c>
      <c r="C26" s="631">
        <f>IF(D11="","-",+C25+1)</f>
        <v>2024</v>
      </c>
      <c r="D26" s="483">
        <f>IF(F25+SUM(E$17:E25)=D$10,F25,D$10-SUM(E$17:E25))</f>
        <v>1377841.2544188949</v>
      </c>
      <c r="E26" s="482">
        <f t="shared" ref="E26:E72" si="18">IF(+$I$14&lt;F25,$I$14,D26)</f>
        <v>44526.92552631579</v>
      </c>
      <c r="F26" s="483">
        <f t="shared" ref="F26:F72" si="19">+D26-E26</f>
        <v>1333314.3288925791</v>
      </c>
      <c r="G26" s="484">
        <f t="shared" ref="G26:G72" si="20">ROUND(I$12*F26,0)+E26</f>
        <v>196177.92552631578</v>
      </c>
      <c r="H26" s="453">
        <f t="shared" ref="H26:H72" si="21">ROUND(I$13*F26,0)+E26</f>
        <v>196177.92552631578</v>
      </c>
      <c r="I26" s="473">
        <f t="shared" si="3"/>
        <v>0</v>
      </c>
      <c r="J26" s="473"/>
      <c r="K26" s="485"/>
      <c r="L26" s="476">
        <f t="shared" ref="L26:L72" si="22">IF(K26&lt;&gt;0,+G26-K26,0)</f>
        <v>0</v>
      </c>
      <c r="M26" s="485"/>
      <c r="N26" s="476">
        <f t="shared" si="5"/>
        <v>0</v>
      </c>
      <c r="O26" s="476">
        <f t="shared" si="6"/>
        <v>0</v>
      </c>
      <c r="P26" s="241"/>
    </row>
    <row r="27" spans="2:16">
      <c r="B27" s="160" t="str">
        <f t="shared" si="4"/>
        <v/>
      </c>
      <c r="C27" s="470">
        <f>IF(D11="","-",+C26+1)</f>
        <v>2025</v>
      </c>
      <c r="D27" s="483">
        <f>IF(F26+SUM(E$17:E26)=D$10,F26,D$10-SUM(E$17:E26))</f>
        <v>1333314.3288925791</v>
      </c>
      <c r="E27" s="482">
        <f t="shared" si="18"/>
        <v>44526.92552631579</v>
      </c>
      <c r="F27" s="483">
        <f t="shared" si="19"/>
        <v>1288787.4033662633</v>
      </c>
      <c r="G27" s="484">
        <f t="shared" si="20"/>
        <v>191113.92552631578</v>
      </c>
      <c r="H27" s="453">
        <f t="shared" si="21"/>
        <v>191113.92552631578</v>
      </c>
      <c r="I27" s="473">
        <f t="shared" si="3"/>
        <v>0</v>
      </c>
      <c r="J27" s="473"/>
      <c r="K27" s="485"/>
      <c r="L27" s="476">
        <f t="shared" si="22"/>
        <v>0</v>
      </c>
      <c r="M27" s="485"/>
      <c r="N27" s="476">
        <f t="shared" si="5"/>
        <v>0</v>
      </c>
      <c r="O27" s="476">
        <f t="shared" si="6"/>
        <v>0</v>
      </c>
      <c r="P27" s="241"/>
    </row>
    <row r="28" spans="2:16">
      <c r="B28" s="160" t="str">
        <f t="shared" si="4"/>
        <v/>
      </c>
      <c r="C28" s="470">
        <f>IF(D11="","-",+C27+1)</f>
        <v>2026</v>
      </c>
      <c r="D28" s="483">
        <f>IF(F27+SUM(E$17:E27)=D$10,F27,D$10-SUM(E$17:E27))</f>
        <v>1288787.4033662633</v>
      </c>
      <c r="E28" s="482">
        <f t="shared" si="18"/>
        <v>44526.92552631579</v>
      </c>
      <c r="F28" s="483">
        <f t="shared" si="19"/>
        <v>1244260.4778399474</v>
      </c>
      <c r="G28" s="484">
        <f t="shared" si="20"/>
        <v>186048.92552631578</v>
      </c>
      <c r="H28" s="453">
        <f t="shared" si="21"/>
        <v>186048.92552631578</v>
      </c>
      <c r="I28" s="473">
        <f t="shared" si="3"/>
        <v>0</v>
      </c>
      <c r="J28" s="473"/>
      <c r="K28" s="485"/>
      <c r="L28" s="476">
        <f t="shared" si="22"/>
        <v>0</v>
      </c>
      <c r="M28" s="485"/>
      <c r="N28" s="476">
        <f t="shared" si="5"/>
        <v>0</v>
      </c>
      <c r="O28" s="476">
        <f t="shared" si="6"/>
        <v>0</v>
      </c>
      <c r="P28" s="241"/>
    </row>
    <row r="29" spans="2:16">
      <c r="B29" s="160" t="str">
        <f t="shared" si="4"/>
        <v/>
      </c>
      <c r="C29" s="470">
        <f>IF(D11="","-",+C28+1)</f>
        <v>2027</v>
      </c>
      <c r="D29" s="483">
        <f>IF(F28+SUM(E$17:E28)=D$10,F28,D$10-SUM(E$17:E28))</f>
        <v>1244260.4778399474</v>
      </c>
      <c r="E29" s="482">
        <f t="shared" si="18"/>
        <v>44526.92552631579</v>
      </c>
      <c r="F29" s="483">
        <f t="shared" si="19"/>
        <v>1199733.5523136316</v>
      </c>
      <c r="G29" s="484">
        <f t="shared" si="20"/>
        <v>180984.92552631578</v>
      </c>
      <c r="H29" s="453">
        <f t="shared" si="21"/>
        <v>180984.92552631578</v>
      </c>
      <c r="I29" s="473">
        <f t="shared" si="3"/>
        <v>0</v>
      </c>
      <c r="J29" s="473"/>
      <c r="K29" s="485"/>
      <c r="L29" s="476">
        <f t="shared" si="22"/>
        <v>0</v>
      </c>
      <c r="M29" s="485"/>
      <c r="N29" s="476">
        <f t="shared" si="5"/>
        <v>0</v>
      </c>
      <c r="O29" s="476">
        <f t="shared" si="6"/>
        <v>0</v>
      </c>
      <c r="P29" s="241"/>
    </row>
    <row r="30" spans="2:16">
      <c r="B30" s="160" t="str">
        <f t="shared" si="4"/>
        <v/>
      </c>
      <c r="C30" s="470">
        <f>IF(D11="","-",+C29+1)</f>
        <v>2028</v>
      </c>
      <c r="D30" s="483">
        <f>IF(F29+SUM(E$17:E29)=D$10,F29,D$10-SUM(E$17:E29))</f>
        <v>1199733.5523136316</v>
      </c>
      <c r="E30" s="482">
        <f t="shared" si="18"/>
        <v>44526.92552631579</v>
      </c>
      <c r="F30" s="483">
        <f t="shared" si="19"/>
        <v>1155206.6267873158</v>
      </c>
      <c r="G30" s="484">
        <f t="shared" si="20"/>
        <v>175919.92552631578</v>
      </c>
      <c r="H30" s="453">
        <f t="shared" si="21"/>
        <v>175919.92552631578</v>
      </c>
      <c r="I30" s="473">
        <f t="shared" si="3"/>
        <v>0</v>
      </c>
      <c r="J30" s="473"/>
      <c r="K30" s="485"/>
      <c r="L30" s="476">
        <f t="shared" si="22"/>
        <v>0</v>
      </c>
      <c r="M30" s="485"/>
      <c r="N30" s="476">
        <f t="shared" si="5"/>
        <v>0</v>
      </c>
      <c r="O30" s="476">
        <f t="shared" si="6"/>
        <v>0</v>
      </c>
      <c r="P30" s="241"/>
    </row>
    <row r="31" spans="2:16">
      <c r="B31" s="160" t="str">
        <f t="shared" si="4"/>
        <v/>
      </c>
      <c r="C31" s="470">
        <f>IF(D11="","-",+C30+1)</f>
        <v>2029</v>
      </c>
      <c r="D31" s="483">
        <f>IF(F30+SUM(E$17:E30)=D$10,F30,D$10-SUM(E$17:E30))</f>
        <v>1155206.6267873158</v>
      </c>
      <c r="E31" s="482">
        <f t="shared" si="18"/>
        <v>44526.92552631579</v>
      </c>
      <c r="F31" s="483">
        <f t="shared" si="19"/>
        <v>1110679.701261</v>
      </c>
      <c r="G31" s="484">
        <f t="shared" si="20"/>
        <v>170855.92552631578</v>
      </c>
      <c r="H31" s="453">
        <f t="shared" si="21"/>
        <v>170855.92552631578</v>
      </c>
      <c r="I31" s="473">
        <f t="shared" si="3"/>
        <v>0</v>
      </c>
      <c r="J31" s="473"/>
      <c r="K31" s="485"/>
      <c r="L31" s="476">
        <f t="shared" si="22"/>
        <v>0</v>
      </c>
      <c r="M31" s="485"/>
      <c r="N31" s="476">
        <f t="shared" si="5"/>
        <v>0</v>
      </c>
      <c r="O31" s="476">
        <f t="shared" si="6"/>
        <v>0</v>
      </c>
      <c r="P31" s="241"/>
    </row>
    <row r="32" spans="2:16">
      <c r="B32" s="160" t="str">
        <f t="shared" si="4"/>
        <v/>
      </c>
      <c r="C32" s="470">
        <f>IF(D11="","-",+C31+1)</f>
        <v>2030</v>
      </c>
      <c r="D32" s="483">
        <f>IF(F31+SUM(E$17:E31)=D$10,F31,D$10-SUM(E$17:E31))</f>
        <v>1110679.701261</v>
      </c>
      <c r="E32" s="482">
        <f t="shared" si="18"/>
        <v>44526.92552631579</v>
      </c>
      <c r="F32" s="483">
        <f t="shared" si="19"/>
        <v>1066152.7757346842</v>
      </c>
      <c r="G32" s="484">
        <f t="shared" si="20"/>
        <v>165790.92552631578</v>
      </c>
      <c r="H32" s="453">
        <f t="shared" si="21"/>
        <v>165790.92552631578</v>
      </c>
      <c r="I32" s="473">
        <f t="shared" si="3"/>
        <v>0</v>
      </c>
      <c r="J32" s="473"/>
      <c r="K32" s="485"/>
      <c r="L32" s="476">
        <f t="shared" si="22"/>
        <v>0</v>
      </c>
      <c r="M32" s="485"/>
      <c r="N32" s="476">
        <f t="shared" si="5"/>
        <v>0</v>
      </c>
      <c r="O32" s="476">
        <f t="shared" si="6"/>
        <v>0</v>
      </c>
      <c r="P32" s="241"/>
    </row>
    <row r="33" spans="2:16">
      <c r="B33" s="160" t="str">
        <f t="shared" si="4"/>
        <v/>
      </c>
      <c r="C33" s="470">
        <f>IF(D11="","-",+C32+1)</f>
        <v>2031</v>
      </c>
      <c r="D33" s="483">
        <f>IF(F32+SUM(E$17:E32)=D$10,F32,D$10-SUM(E$17:E32))</f>
        <v>1066152.7757346842</v>
      </c>
      <c r="E33" s="482">
        <f t="shared" si="18"/>
        <v>44526.92552631579</v>
      </c>
      <c r="F33" s="483">
        <f t="shared" si="19"/>
        <v>1021625.8502083684</v>
      </c>
      <c r="G33" s="484">
        <f t="shared" si="20"/>
        <v>160726.92552631578</v>
      </c>
      <c r="H33" s="453">
        <f t="shared" si="21"/>
        <v>160726.92552631578</v>
      </c>
      <c r="I33" s="473">
        <f t="shared" si="3"/>
        <v>0</v>
      </c>
      <c r="J33" s="473"/>
      <c r="K33" s="485"/>
      <c r="L33" s="476">
        <f t="shared" si="22"/>
        <v>0</v>
      </c>
      <c r="M33" s="485"/>
      <c r="N33" s="476">
        <f t="shared" si="5"/>
        <v>0</v>
      </c>
      <c r="O33" s="476">
        <f t="shared" si="6"/>
        <v>0</v>
      </c>
      <c r="P33" s="241"/>
    </row>
    <row r="34" spans="2:16">
      <c r="B34" s="160" t="str">
        <f t="shared" si="4"/>
        <v/>
      </c>
      <c r="C34" s="470">
        <f>IF(D11="","-",+C33+1)</f>
        <v>2032</v>
      </c>
      <c r="D34" s="483">
        <f>IF(F33+SUM(E$17:E33)=D$10,F33,D$10-SUM(E$17:E33))</f>
        <v>1021625.8502083684</v>
      </c>
      <c r="E34" s="482">
        <f t="shared" si="18"/>
        <v>44526.92552631579</v>
      </c>
      <c r="F34" s="483">
        <f t="shared" si="19"/>
        <v>977098.92468205257</v>
      </c>
      <c r="G34" s="484">
        <f t="shared" si="20"/>
        <v>155661.92552631578</v>
      </c>
      <c r="H34" s="453">
        <f t="shared" si="21"/>
        <v>155661.92552631578</v>
      </c>
      <c r="I34" s="473">
        <f t="shared" si="3"/>
        <v>0</v>
      </c>
      <c r="J34" s="473"/>
      <c r="K34" s="485"/>
      <c r="L34" s="476">
        <f t="shared" si="22"/>
        <v>0</v>
      </c>
      <c r="M34" s="485"/>
      <c r="N34" s="476">
        <f t="shared" si="5"/>
        <v>0</v>
      </c>
      <c r="O34" s="476">
        <f t="shared" si="6"/>
        <v>0</v>
      </c>
      <c r="P34" s="241"/>
    </row>
    <row r="35" spans="2:16">
      <c r="B35" s="160" t="str">
        <f t="shared" si="4"/>
        <v/>
      </c>
      <c r="C35" s="470">
        <f>IF(D11="","-",+C34+1)</f>
        <v>2033</v>
      </c>
      <c r="D35" s="483">
        <f>IF(F34+SUM(E$17:E34)=D$10,F34,D$10-SUM(E$17:E34))</f>
        <v>977098.92468205257</v>
      </c>
      <c r="E35" s="482">
        <f t="shared" si="18"/>
        <v>44526.92552631579</v>
      </c>
      <c r="F35" s="483">
        <f t="shared" si="19"/>
        <v>932571.99915573676</v>
      </c>
      <c r="G35" s="484">
        <f t="shared" si="20"/>
        <v>150597.92552631578</v>
      </c>
      <c r="H35" s="453">
        <f t="shared" si="21"/>
        <v>150597.92552631578</v>
      </c>
      <c r="I35" s="473">
        <f t="shared" si="3"/>
        <v>0</v>
      </c>
      <c r="J35" s="473"/>
      <c r="K35" s="485"/>
      <c r="L35" s="476">
        <f t="shared" si="22"/>
        <v>0</v>
      </c>
      <c r="M35" s="485"/>
      <c r="N35" s="476">
        <f t="shared" si="5"/>
        <v>0</v>
      </c>
      <c r="O35" s="476">
        <f t="shared" si="6"/>
        <v>0</v>
      </c>
      <c r="P35" s="241"/>
    </row>
    <row r="36" spans="2:16">
      <c r="B36" s="160" t="str">
        <f t="shared" si="4"/>
        <v/>
      </c>
      <c r="C36" s="470">
        <f>IF(D11="","-",+C35+1)</f>
        <v>2034</v>
      </c>
      <c r="D36" s="483">
        <f>IF(F35+SUM(E$17:E35)=D$10,F35,D$10-SUM(E$17:E35))</f>
        <v>932571.99915573676</v>
      </c>
      <c r="E36" s="482">
        <f t="shared" si="18"/>
        <v>44526.92552631579</v>
      </c>
      <c r="F36" s="483">
        <f t="shared" si="19"/>
        <v>888045.07362942095</v>
      </c>
      <c r="G36" s="484">
        <f t="shared" si="20"/>
        <v>145532.92552631578</v>
      </c>
      <c r="H36" s="453">
        <f t="shared" si="21"/>
        <v>145532.92552631578</v>
      </c>
      <c r="I36" s="473">
        <f t="shared" si="3"/>
        <v>0</v>
      </c>
      <c r="J36" s="473"/>
      <c r="K36" s="485"/>
      <c r="L36" s="476">
        <f t="shared" si="22"/>
        <v>0</v>
      </c>
      <c r="M36" s="485"/>
      <c r="N36" s="476">
        <f t="shared" si="5"/>
        <v>0</v>
      </c>
      <c r="O36" s="476">
        <f t="shared" si="6"/>
        <v>0</v>
      </c>
      <c r="P36" s="241"/>
    </row>
    <row r="37" spans="2:16">
      <c r="B37" s="160" t="str">
        <f t="shared" si="4"/>
        <v/>
      </c>
      <c r="C37" s="470">
        <f>IF(D11="","-",+C36+1)</f>
        <v>2035</v>
      </c>
      <c r="D37" s="483">
        <f>IF(F36+SUM(E$17:E36)=D$10,F36,D$10-SUM(E$17:E36))</f>
        <v>888045.07362942095</v>
      </c>
      <c r="E37" s="482">
        <f t="shared" si="18"/>
        <v>44526.92552631579</v>
      </c>
      <c r="F37" s="483">
        <f t="shared" si="19"/>
        <v>843518.14810310514</v>
      </c>
      <c r="G37" s="484">
        <f t="shared" si="20"/>
        <v>140468.92552631578</v>
      </c>
      <c r="H37" s="453">
        <f t="shared" si="21"/>
        <v>140468.92552631578</v>
      </c>
      <c r="I37" s="473">
        <f t="shared" si="3"/>
        <v>0</v>
      </c>
      <c r="J37" s="473"/>
      <c r="K37" s="485"/>
      <c r="L37" s="476">
        <f t="shared" si="22"/>
        <v>0</v>
      </c>
      <c r="M37" s="485"/>
      <c r="N37" s="476">
        <f t="shared" si="5"/>
        <v>0</v>
      </c>
      <c r="O37" s="476">
        <f t="shared" si="6"/>
        <v>0</v>
      </c>
      <c r="P37" s="241"/>
    </row>
    <row r="38" spans="2:16">
      <c r="B38" s="160" t="str">
        <f t="shared" si="4"/>
        <v/>
      </c>
      <c r="C38" s="470">
        <f>IF(D11="","-",+C37+1)</f>
        <v>2036</v>
      </c>
      <c r="D38" s="483">
        <f>IF(F37+SUM(E$17:E37)=D$10,F37,D$10-SUM(E$17:E37))</f>
        <v>843518.14810310514</v>
      </c>
      <c r="E38" s="482">
        <f t="shared" si="18"/>
        <v>44526.92552631579</v>
      </c>
      <c r="F38" s="483">
        <f t="shared" si="19"/>
        <v>798991.22257678933</v>
      </c>
      <c r="G38" s="484">
        <f t="shared" si="20"/>
        <v>135403.92552631578</v>
      </c>
      <c r="H38" s="453">
        <f t="shared" si="21"/>
        <v>135403.92552631578</v>
      </c>
      <c r="I38" s="473">
        <f t="shared" si="3"/>
        <v>0</v>
      </c>
      <c r="J38" s="473"/>
      <c r="K38" s="485"/>
      <c r="L38" s="476">
        <f t="shared" si="22"/>
        <v>0</v>
      </c>
      <c r="M38" s="485"/>
      <c r="N38" s="476">
        <f t="shared" si="5"/>
        <v>0</v>
      </c>
      <c r="O38" s="476">
        <f t="shared" si="6"/>
        <v>0</v>
      </c>
      <c r="P38" s="241"/>
    </row>
    <row r="39" spans="2:16">
      <c r="B39" s="160" t="str">
        <f t="shared" si="4"/>
        <v/>
      </c>
      <c r="C39" s="470">
        <f>IF(D11="","-",+C38+1)</f>
        <v>2037</v>
      </c>
      <c r="D39" s="483">
        <f>IF(F38+SUM(E$17:E38)=D$10,F38,D$10-SUM(E$17:E38))</f>
        <v>798991.22257678933</v>
      </c>
      <c r="E39" s="482">
        <f t="shared" si="18"/>
        <v>44526.92552631579</v>
      </c>
      <c r="F39" s="483">
        <f t="shared" si="19"/>
        <v>754464.29705047351</v>
      </c>
      <c r="G39" s="484">
        <f t="shared" si="20"/>
        <v>130339.92552631578</v>
      </c>
      <c r="H39" s="453">
        <f t="shared" si="21"/>
        <v>130339.92552631578</v>
      </c>
      <c r="I39" s="473">
        <f t="shared" si="3"/>
        <v>0</v>
      </c>
      <c r="J39" s="473"/>
      <c r="K39" s="485"/>
      <c r="L39" s="476">
        <f t="shared" si="22"/>
        <v>0</v>
      </c>
      <c r="M39" s="485"/>
      <c r="N39" s="476">
        <f t="shared" si="5"/>
        <v>0</v>
      </c>
      <c r="O39" s="476">
        <f t="shared" si="6"/>
        <v>0</v>
      </c>
      <c r="P39" s="241"/>
    </row>
    <row r="40" spans="2:16">
      <c r="B40" s="160" t="str">
        <f t="shared" si="4"/>
        <v/>
      </c>
      <c r="C40" s="470">
        <f>IF(D11="","-",+C39+1)</f>
        <v>2038</v>
      </c>
      <c r="D40" s="483">
        <f>IF(F39+SUM(E$17:E39)=D$10,F39,D$10-SUM(E$17:E39))</f>
        <v>754464.29705047351</v>
      </c>
      <c r="E40" s="482">
        <f t="shared" si="18"/>
        <v>44526.92552631579</v>
      </c>
      <c r="F40" s="483">
        <f t="shared" si="19"/>
        <v>709937.3715241577</v>
      </c>
      <c r="G40" s="484">
        <f t="shared" si="20"/>
        <v>125274.92552631578</v>
      </c>
      <c r="H40" s="453">
        <f t="shared" si="21"/>
        <v>125274.92552631578</v>
      </c>
      <c r="I40" s="473">
        <f t="shared" si="3"/>
        <v>0</v>
      </c>
      <c r="J40" s="473"/>
      <c r="K40" s="485"/>
      <c r="L40" s="476">
        <f t="shared" si="22"/>
        <v>0</v>
      </c>
      <c r="M40" s="485"/>
      <c r="N40" s="476">
        <f t="shared" si="5"/>
        <v>0</v>
      </c>
      <c r="O40" s="476">
        <f t="shared" si="6"/>
        <v>0</v>
      </c>
      <c r="P40" s="241"/>
    </row>
    <row r="41" spans="2:16">
      <c r="B41" s="160" t="str">
        <f t="shared" si="4"/>
        <v/>
      </c>
      <c r="C41" s="470">
        <f>IF(D11="","-",+C40+1)</f>
        <v>2039</v>
      </c>
      <c r="D41" s="483">
        <f>IF(F40+SUM(E$17:E40)=D$10,F40,D$10-SUM(E$17:E40))</f>
        <v>709937.3715241577</v>
      </c>
      <c r="E41" s="482">
        <f t="shared" si="18"/>
        <v>44526.92552631579</v>
      </c>
      <c r="F41" s="483">
        <f t="shared" si="19"/>
        <v>665410.44599784189</v>
      </c>
      <c r="G41" s="484">
        <f t="shared" si="20"/>
        <v>120210.92552631578</v>
      </c>
      <c r="H41" s="453">
        <f t="shared" si="21"/>
        <v>120210.92552631578</v>
      </c>
      <c r="I41" s="473">
        <f t="shared" si="3"/>
        <v>0</v>
      </c>
      <c r="J41" s="473"/>
      <c r="K41" s="485"/>
      <c r="L41" s="476">
        <f t="shared" si="22"/>
        <v>0</v>
      </c>
      <c r="M41" s="485"/>
      <c r="N41" s="476">
        <f t="shared" si="5"/>
        <v>0</v>
      </c>
      <c r="O41" s="476">
        <f t="shared" si="6"/>
        <v>0</v>
      </c>
      <c r="P41" s="241"/>
    </row>
    <row r="42" spans="2:16">
      <c r="B42" s="160" t="str">
        <f t="shared" si="4"/>
        <v/>
      </c>
      <c r="C42" s="470">
        <f>IF(D11="","-",+C41+1)</f>
        <v>2040</v>
      </c>
      <c r="D42" s="483">
        <f>IF(F41+SUM(E$17:E41)=D$10,F41,D$10-SUM(E$17:E41))</f>
        <v>665410.44599784189</v>
      </c>
      <c r="E42" s="482">
        <f t="shared" si="18"/>
        <v>44526.92552631579</v>
      </c>
      <c r="F42" s="483">
        <f t="shared" si="19"/>
        <v>620883.52047152608</v>
      </c>
      <c r="G42" s="484">
        <f t="shared" si="20"/>
        <v>115145.92552631578</v>
      </c>
      <c r="H42" s="453">
        <f t="shared" si="21"/>
        <v>115145.92552631578</v>
      </c>
      <c r="I42" s="473">
        <f t="shared" si="3"/>
        <v>0</v>
      </c>
      <c r="J42" s="473"/>
      <c r="K42" s="485"/>
      <c r="L42" s="476">
        <f t="shared" si="22"/>
        <v>0</v>
      </c>
      <c r="M42" s="485"/>
      <c r="N42" s="476">
        <f t="shared" si="5"/>
        <v>0</v>
      </c>
      <c r="O42" s="476">
        <f t="shared" si="6"/>
        <v>0</v>
      </c>
      <c r="P42" s="241"/>
    </row>
    <row r="43" spans="2:16">
      <c r="B43" s="160" t="str">
        <f t="shared" si="4"/>
        <v/>
      </c>
      <c r="C43" s="470">
        <f>IF(D11="","-",+C42+1)</f>
        <v>2041</v>
      </c>
      <c r="D43" s="483">
        <f>IF(F42+SUM(E$17:E42)=D$10,F42,D$10-SUM(E$17:E42))</f>
        <v>620883.52047152608</v>
      </c>
      <c r="E43" s="482">
        <f t="shared" si="18"/>
        <v>44526.92552631579</v>
      </c>
      <c r="F43" s="483">
        <f t="shared" si="19"/>
        <v>576356.59494521026</v>
      </c>
      <c r="G43" s="484">
        <f t="shared" si="20"/>
        <v>110081.92552631578</v>
      </c>
      <c r="H43" s="453">
        <f t="shared" si="21"/>
        <v>110081.92552631578</v>
      </c>
      <c r="I43" s="473">
        <f t="shared" si="3"/>
        <v>0</v>
      </c>
      <c r="J43" s="473"/>
      <c r="K43" s="485"/>
      <c r="L43" s="476">
        <f t="shared" si="22"/>
        <v>0</v>
      </c>
      <c r="M43" s="485"/>
      <c r="N43" s="476">
        <f t="shared" si="5"/>
        <v>0</v>
      </c>
      <c r="O43" s="476">
        <f t="shared" si="6"/>
        <v>0</v>
      </c>
      <c r="P43" s="241"/>
    </row>
    <row r="44" spans="2:16">
      <c r="B44" s="160" t="str">
        <f t="shared" si="4"/>
        <v/>
      </c>
      <c r="C44" s="470">
        <f>IF(D11="","-",+C43+1)</f>
        <v>2042</v>
      </c>
      <c r="D44" s="483">
        <f>IF(F43+SUM(E$17:E43)=D$10,F43,D$10-SUM(E$17:E43))</f>
        <v>576356.59494521026</v>
      </c>
      <c r="E44" s="482">
        <f t="shared" si="18"/>
        <v>44526.92552631579</v>
      </c>
      <c r="F44" s="483">
        <f t="shared" si="19"/>
        <v>531829.66941889445</v>
      </c>
      <c r="G44" s="484">
        <f t="shared" si="20"/>
        <v>105016.92552631578</v>
      </c>
      <c r="H44" s="453">
        <f t="shared" si="21"/>
        <v>105016.92552631578</v>
      </c>
      <c r="I44" s="473">
        <f t="shared" si="3"/>
        <v>0</v>
      </c>
      <c r="J44" s="473"/>
      <c r="K44" s="485"/>
      <c r="L44" s="476">
        <f t="shared" si="22"/>
        <v>0</v>
      </c>
      <c r="M44" s="485"/>
      <c r="N44" s="476">
        <f t="shared" si="5"/>
        <v>0</v>
      </c>
      <c r="O44" s="476">
        <f t="shared" si="6"/>
        <v>0</v>
      </c>
      <c r="P44" s="241"/>
    </row>
    <row r="45" spans="2:16">
      <c r="B45" s="160" t="str">
        <f t="shared" si="4"/>
        <v/>
      </c>
      <c r="C45" s="470">
        <f>IF(D11="","-",+C44+1)</f>
        <v>2043</v>
      </c>
      <c r="D45" s="483">
        <f>IF(F44+SUM(E$17:E44)=D$10,F44,D$10-SUM(E$17:E44))</f>
        <v>531829.66941889445</v>
      </c>
      <c r="E45" s="482">
        <f t="shared" si="18"/>
        <v>44526.92552631579</v>
      </c>
      <c r="F45" s="483">
        <f t="shared" si="19"/>
        <v>487302.74389257864</v>
      </c>
      <c r="G45" s="484">
        <f t="shared" si="20"/>
        <v>99952.925526315783</v>
      </c>
      <c r="H45" s="453">
        <f t="shared" si="21"/>
        <v>99952.925526315783</v>
      </c>
      <c r="I45" s="473">
        <f t="shared" si="3"/>
        <v>0</v>
      </c>
      <c r="J45" s="473"/>
      <c r="K45" s="485"/>
      <c r="L45" s="476">
        <f t="shared" si="22"/>
        <v>0</v>
      </c>
      <c r="M45" s="485"/>
      <c r="N45" s="476">
        <f t="shared" si="5"/>
        <v>0</v>
      </c>
      <c r="O45" s="476">
        <f t="shared" si="6"/>
        <v>0</v>
      </c>
      <c r="P45" s="241"/>
    </row>
    <row r="46" spans="2:16">
      <c r="B46" s="160" t="str">
        <f t="shared" si="4"/>
        <v/>
      </c>
      <c r="C46" s="470">
        <f>IF(D11="","-",+C45+1)</f>
        <v>2044</v>
      </c>
      <c r="D46" s="483">
        <f>IF(F45+SUM(E$17:E45)=D$10,F45,D$10-SUM(E$17:E45))</f>
        <v>487302.74389257864</v>
      </c>
      <c r="E46" s="482">
        <f t="shared" si="18"/>
        <v>44526.92552631579</v>
      </c>
      <c r="F46" s="483">
        <f t="shared" si="19"/>
        <v>442775.81836626283</v>
      </c>
      <c r="G46" s="484">
        <f t="shared" si="20"/>
        <v>94887.925526315783</v>
      </c>
      <c r="H46" s="453">
        <f t="shared" si="21"/>
        <v>94887.925526315783</v>
      </c>
      <c r="I46" s="473">
        <f t="shared" si="3"/>
        <v>0</v>
      </c>
      <c r="J46" s="473"/>
      <c r="K46" s="485"/>
      <c r="L46" s="476">
        <f t="shared" si="22"/>
        <v>0</v>
      </c>
      <c r="M46" s="485"/>
      <c r="N46" s="476">
        <f t="shared" si="5"/>
        <v>0</v>
      </c>
      <c r="O46" s="476">
        <f t="shared" si="6"/>
        <v>0</v>
      </c>
      <c r="P46" s="241"/>
    </row>
    <row r="47" spans="2:16">
      <c r="B47" s="160" t="str">
        <f t="shared" si="4"/>
        <v/>
      </c>
      <c r="C47" s="470">
        <f>IF(D11="","-",+C46+1)</f>
        <v>2045</v>
      </c>
      <c r="D47" s="483">
        <f>IF(F46+SUM(E$17:E46)=D$10,F46,D$10-SUM(E$17:E46))</f>
        <v>442775.81836626283</v>
      </c>
      <c r="E47" s="482">
        <f t="shared" si="18"/>
        <v>44526.92552631579</v>
      </c>
      <c r="F47" s="483">
        <f t="shared" si="19"/>
        <v>398248.89283994702</v>
      </c>
      <c r="G47" s="484">
        <f t="shared" si="20"/>
        <v>89823.925526315783</v>
      </c>
      <c r="H47" s="453">
        <f t="shared" si="21"/>
        <v>89823.925526315783</v>
      </c>
      <c r="I47" s="473">
        <f t="shared" si="3"/>
        <v>0</v>
      </c>
      <c r="J47" s="473"/>
      <c r="K47" s="485"/>
      <c r="L47" s="476">
        <f t="shared" si="22"/>
        <v>0</v>
      </c>
      <c r="M47" s="485"/>
      <c r="N47" s="476">
        <f t="shared" si="5"/>
        <v>0</v>
      </c>
      <c r="O47" s="476">
        <f t="shared" si="6"/>
        <v>0</v>
      </c>
      <c r="P47" s="241"/>
    </row>
    <row r="48" spans="2:16">
      <c r="B48" s="160" t="str">
        <f t="shared" si="4"/>
        <v/>
      </c>
      <c r="C48" s="470">
        <f>IF(D11="","-",+C47+1)</f>
        <v>2046</v>
      </c>
      <c r="D48" s="483">
        <f>IF(F47+SUM(E$17:E47)=D$10,F47,D$10-SUM(E$17:E47))</f>
        <v>398248.89283994702</v>
      </c>
      <c r="E48" s="482">
        <f t="shared" si="18"/>
        <v>44526.92552631579</v>
      </c>
      <c r="F48" s="483">
        <f t="shared" si="19"/>
        <v>353721.9673136312</v>
      </c>
      <c r="G48" s="484">
        <f t="shared" si="20"/>
        <v>84758.925526315783</v>
      </c>
      <c r="H48" s="453">
        <f t="shared" si="21"/>
        <v>84758.925526315783</v>
      </c>
      <c r="I48" s="473">
        <f t="shared" si="3"/>
        <v>0</v>
      </c>
      <c r="J48" s="473"/>
      <c r="K48" s="485"/>
      <c r="L48" s="476">
        <f t="shared" si="22"/>
        <v>0</v>
      </c>
      <c r="M48" s="485"/>
      <c r="N48" s="476">
        <f t="shared" si="5"/>
        <v>0</v>
      </c>
      <c r="O48" s="476">
        <f t="shared" si="6"/>
        <v>0</v>
      </c>
      <c r="P48" s="241"/>
    </row>
    <row r="49" spans="2:16">
      <c r="B49" s="160" t="str">
        <f t="shared" si="4"/>
        <v/>
      </c>
      <c r="C49" s="470">
        <f>IF(D11="","-",+C48+1)</f>
        <v>2047</v>
      </c>
      <c r="D49" s="483">
        <f>IF(F48+SUM(E$17:E48)=D$10,F48,D$10-SUM(E$17:E48))</f>
        <v>353721.9673136312</v>
      </c>
      <c r="E49" s="482">
        <f t="shared" si="18"/>
        <v>44526.92552631579</v>
      </c>
      <c r="F49" s="483">
        <f t="shared" si="19"/>
        <v>309195.04178731539</v>
      </c>
      <c r="G49" s="484">
        <f t="shared" si="20"/>
        <v>79694.925526315783</v>
      </c>
      <c r="H49" s="453">
        <f t="shared" si="21"/>
        <v>79694.925526315783</v>
      </c>
      <c r="I49" s="473">
        <f t="shared" si="3"/>
        <v>0</v>
      </c>
      <c r="J49" s="473"/>
      <c r="K49" s="485"/>
      <c r="L49" s="476">
        <f t="shared" si="22"/>
        <v>0</v>
      </c>
      <c r="M49" s="485"/>
      <c r="N49" s="476">
        <f t="shared" si="5"/>
        <v>0</v>
      </c>
      <c r="O49" s="476">
        <f t="shared" si="6"/>
        <v>0</v>
      </c>
      <c r="P49" s="241"/>
    </row>
    <row r="50" spans="2:16">
      <c r="B50" s="160" t="str">
        <f t="shared" si="4"/>
        <v/>
      </c>
      <c r="C50" s="470">
        <f>IF(D11="","-",+C49+1)</f>
        <v>2048</v>
      </c>
      <c r="D50" s="483">
        <f>IF(F49+SUM(E$17:E49)=D$10,F49,D$10-SUM(E$17:E49))</f>
        <v>309195.04178731539</v>
      </c>
      <c r="E50" s="482">
        <f t="shared" si="18"/>
        <v>44526.92552631579</v>
      </c>
      <c r="F50" s="483">
        <f t="shared" si="19"/>
        <v>264668.11626099958</v>
      </c>
      <c r="G50" s="484">
        <f t="shared" si="20"/>
        <v>74629.925526315783</v>
      </c>
      <c r="H50" s="453">
        <f t="shared" si="21"/>
        <v>74629.925526315783</v>
      </c>
      <c r="I50" s="473">
        <f t="shared" si="3"/>
        <v>0</v>
      </c>
      <c r="J50" s="473"/>
      <c r="K50" s="485"/>
      <c r="L50" s="476">
        <f t="shared" si="22"/>
        <v>0</v>
      </c>
      <c r="M50" s="485"/>
      <c r="N50" s="476">
        <f t="shared" si="5"/>
        <v>0</v>
      </c>
      <c r="O50" s="476">
        <f t="shared" si="6"/>
        <v>0</v>
      </c>
      <c r="P50" s="241"/>
    </row>
    <row r="51" spans="2:16">
      <c r="B51" s="160" t="str">
        <f t="shared" si="4"/>
        <v/>
      </c>
      <c r="C51" s="470">
        <f>IF(D11="","-",+C50+1)</f>
        <v>2049</v>
      </c>
      <c r="D51" s="483">
        <f>IF(F50+SUM(E$17:E50)=D$10,F50,D$10-SUM(E$17:E50))</f>
        <v>264668.11626099958</v>
      </c>
      <c r="E51" s="482">
        <f t="shared" si="18"/>
        <v>44526.92552631579</v>
      </c>
      <c r="F51" s="483">
        <f t="shared" si="19"/>
        <v>220141.1907346838</v>
      </c>
      <c r="G51" s="484">
        <f t="shared" si="20"/>
        <v>69565.925526315783</v>
      </c>
      <c r="H51" s="453">
        <f t="shared" si="21"/>
        <v>69565.925526315783</v>
      </c>
      <c r="I51" s="473">
        <f t="shared" si="3"/>
        <v>0</v>
      </c>
      <c r="J51" s="473"/>
      <c r="K51" s="485"/>
      <c r="L51" s="476">
        <f t="shared" si="22"/>
        <v>0</v>
      </c>
      <c r="M51" s="485"/>
      <c r="N51" s="476">
        <f t="shared" si="5"/>
        <v>0</v>
      </c>
      <c r="O51" s="476">
        <f t="shared" si="6"/>
        <v>0</v>
      </c>
      <c r="P51" s="241"/>
    </row>
    <row r="52" spans="2:16">
      <c r="B52" s="160" t="str">
        <f t="shared" si="4"/>
        <v/>
      </c>
      <c r="C52" s="470">
        <f>IF(D11="","-",+C51+1)</f>
        <v>2050</v>
      </c>
      <c r="D52" s="483">
        <f>IF(F51+SUM(E$17:E51)=D$10,F51,D$10-SUM(E$17:E51))</f>
        <v>220141.1907346838</v>
      </c>
      <c r="E52" s="482">
        <f t="shared" si="18"/>
        <v>44526.92552631579</v>
      </c>
      <c r="F52" s="483">
        <f t="shared" si="19"/>
        <v>175614.26520836802</v>
      </c>
      <c r="G52" s="484">
        <f t="shared" si="20"/>
        <v>64500.92552631579</v>
      </c>
      <c r="H52" s="453">
        <f t="shared" si="21"/>
        <v>64500.92552631579</v>
      </c>
      <c r="I52" s="473">
        <f t="shared" si="3"/>
        <v>0</v>
      </c>
      <c r="J52" s="473"/>
      <c r="K52" s="485"/>
      <c r="L52" s="476">
        <f t="shared" si="22"/>
        <v>0</v>
      </c>
      <c r="M52" s="485"/>
      <c r="N52" s="476">
        <f t="shared" si="5"/>
        <v>0</v>
      </c>
      <c r="O52" s="476">
        <f t="shared" si="6"/>
        <v>0</v>
      </c>
      <c r="P52" s="241"/>
    </row>
    <row r="53" spans="2:16">
      <c r="B53" s="160" t="str">
        <f t="shared" si="4"/>
        <v/>
      </c>
      <c r="C53" s="470">
        <f>IF(D11="","-",+C52+1)</f>
        <v>2051</v>
      </c>
      <c r="D53" s="483">
        <f>IF(F52+SUM(E$17:E52)=D$10,F52,D$10-SUM(E$17:E52))</f>
        <v>175614.26520836802</v>
      </c>
      <c r="E53" s="482">
        <f t="shared" si="18"/>
        <v>44526.92552631579</v>
      </c>
      <c r="F53" s="483">
        <f t="shared" si="19"/>
        <v>131087.33968205223</v>
      </c>
      <c r="G53" s="484">
        <f t="shared" si="20"/>
        <v>59436.92552631579</v>
      </c>
      <c r="H53" s="453">
        <f t="shared" si="21"/>
        <v>59436.92552631579</v>
      </c>
      <c r="I53" s="473">
        <f t="shared" si="3"/>
        <v>0</v>
      </c>
      <c r="J53" s="473"/>
      <c r="K53" s="485"/>
      <c r="L53" s="476">
        <f t="shared" si="22"/>
        <v>0</v>
      </c>
      <c r="M53" s="485"/>
      <c r="N53" s="476">
        <f t="shared" si="5"/>
        <v>0</v>
      </c>
      <c r="O53" s="476">
        <f t="shared" si="6"/>
        <v>0</v>
      </c>
      <c r="P53" s="241"/>
    </row>
    <row r="54" spans="2:16">
      <c r="B54" s="160" t="str">
        <f t="shared" si="4"/>
        <v/>
      </c>
      <c r="C54" s="470">
        <f>IF(D11="","-",+C53+1)</f>
        <v>2052</v>
      </c>
      <c r="D54" s="483">
        <f>IF(F53+SUM(E$17:E53)=D$10,F53,D$10-SUM(E$17:E53))</f>
        <v>131087.33968205223</v>
      </c>
      <c r="E54" s="482">
        <f t="shared" si="18"/>
        <v>44526.92552631579</v>
      </c>
      <c r="F54" s="483">
        <f t="shared" si="19"/>
        <v>86560.414155736449</v>
      </c>
      <c r="G54" s="484">
        <f t="shared" si="20"/>
        <v>54371.92552631579</v>
      </c>
      <c r="H54" s="453">
        <f t="shared" si="21"/>
        <v>54371.92552631579</v>
      </c>
      <c r="I54" s="473">
        <f t="shared" si="3"/>
        <v>0</v>
      </c>
      <c r="J54" s="473"/>
      <c r="K54" s="485"/>
      <c r="L54" s="476">
        <f t="shared" si="22"/>
        <v>0</v>
      </c>
      <c r="M54" s="485"/>
      <c r="N54" s="476">
        <f t="shared" si="5"/>
        <v>0</v>
      </c>
      <c r="O54" s="476">
        <f t="shared" si="6"/>
        <v>0</v>
      </c>
      <c r="P54" s="241"/>
    </row>
    <row r="55" spans="2:16">
      <c r="B55" s="160" t="str">
        <f t="shared" si="4"/>
        <v/>
      </c>
      <c r="C55" s="470">
        <f>IF(D11="","-",+C54+1)</f>
        <v>2053</v>
      </c>
      <c r="D55" s="483">
        <f>IF(F54+SUM(E$17:E54)=D$10,F54,D$10-SUM(E$17:E54))</f>
        <v>86560.414155736449</v>
      </c>
      <c r="E55" s="482">
        <f t="shared" si="18"/>
        <v>44526.92552631579</v>
      </c>
      <c r="F55" s="483">
        <f t="shared" si="19"/>
        <v>42033.488629420659</v>
      </c>
      <c r="G55" s="484">
        <f t="shared" si="20"/>
        <v>49307.92552631579</v>
      </c>
      <c r="H55" s="453">
        <f t="shared" si="21"/>
        <v>49307.92552631579</v>
      </c>
      <c r="I55" s="473">
        <f t="shared" si="3"/>
        <v>0</v>
      </c>
      <c r="J55" s="473"/>
      <c r="K55" s="485"/>
      <c r="L55" s="476">
        <f t="shared" si="22"/>
        <v>0</v>
      </c>
      <c r="M55" s="485"/>
      <c r="N55" s="476">
        <f t="shared" si="5"/>
        <v>0</v>
      </c>
      <c r="O55" s="476">
        <f t="shared" si="6"/>
        <v>0</v>
      </c>
      <c r="P55" s="241"/>
    </row>
    <row r="56" spans="2:16">
      <c r="B56" s="160" t="str">
        <f t="shared" si="4"/>
        <v/>
      </c>
      <c r="C56" s="470">
        <f>IF(D11="","-",+C55+1)</f>
        <v>2054</v>
      </c>
      <c r="D56" s="483">
        <f>IF(F55+SUM(E$17:E55)=D$10,F55,D$10-SUM(E$17:E55))</f>
        <v>42033.488629420659</v>
      </c>
      <c r="E56" s="482">
        <f t="shared" si="18"/>
        <v>42033.488629420659</v>
      </c>
      <c r="F56" s="483">
        <f t="shared" si="19"/>
        <v>0</v>
      </c>
      <c r="G56" s="484">
        <f t="shared" si="20"/>
        <v>42033.488629420659</v>
      </c>
      <c r="H56" s="453">
        <f t="shared" si="21"/>
        <v>42033.488629420659</v>
      </c>
      <c r="I56" s="473">
        <f t="shared" si="3"/>
        <v>0</v>
      </c>
      <c r="J56" s="473"/>
      <c r="K56" s="485"/>
      <c r="L56" s="476">
        <f t="shared" si="22"/>
        <v>0</v>
      </c>
      <c r="M56" s="485"/>
      <c r="N56" s="476">
        <f t="shared" si="5"/>
        <v>0</v>
      </c>
      <c r="O56" s="476">
        <f t="shared" si="6"/>
        <v>0</v>
      </c>
      <c r="P56" s="241"/>
    </row>
    <row r="57" spans="2:16">
      <c r="B57" s="160" t="str">
        <f t="shared" si="4"/>
        <v/>
      </c>
      <c r="C57" s="470">
        <f>IF(D11="","-",+C56+1)</f>
        <v>2055</v>
      </c>
      <c r="D57" s="483">
        <f>IF(F56+SUM(E$17:E56)=D$10,F56,D$10-SUM(E$17:E56))</f>
        <v>0</v>
      </c>
      <c r="E57" s="482">
        <f t="shared" si="18"/>
        <v>0</v>
      </c>
      <c r="F57" s="483">
        <f t="shared" si="19"/>
        <v>0</v>
      </c>
      <c r="G57" s="484">
        <f t="shared" si="20"/>
        <v>0</v>
      </c>
      <c r="H57" s="453">
        <f t="shared" si="21"/>
        <v>0</v>
      </c>
      <c r="I57" s="473">
        <f t="shared" si="3"/>
        <v>0</v>
      </c>
      <c r="J57" s="473"/>
      <c r="K57" s="485"/>
      <c r="L57" s="476">
        <f t="shared" si="22"/>
        <v>0</v>
      </c>
      <c r="M57" s="485"/>
      <c r="N57" s="476">
        <f t="shared" si="5"/>
        <v>0</v>
      </c>
      <c r="O57" s="476">
        <f t="shared" si="6"/>
        <v>0</v>
      </c>
      <c r="P57" s="241"/>
    </row>
    <row r="58" spans="2:16">
      <c r="B58" s="160" t="str">
        <f t="shared" si="4"/>
        <v/>
      </c>
      <c r="C58" s="470">
        <f>IF(D11="","-",+C57+1)</f>
        <v>2056</v>
      </c>
      <c r="D58" s="483">
        <f>IF(F57+SUM(E$17:E57)=D$10,F57,D$10-SUM(E$17:E57))</f>
        <v>0</v>
      </c>
      <c r="E58" s="482">
        <f t="shared" si="18"/>
        <v>0</v>
      </c>
      <c r="F58" s="483">
        <f t="shared" si="19"/>
        <v>0</v>
      </c>
      <c r="G58" s="484">
        <f t="shared" si="20"/>
        <v>0</v>
      </c>
      <c r="H58" s="453">
        <f t="shared" si="21"/>
        <v>0</v>
      </c>
      <c r="I58" s="473">
        <f t="shared" si="3"/>
        <v>0</v>
      </c>
      <c r="J58" s="473"/>
      <c r="K58" s="485"/>
      <c r="L58" s="476">
        <f t="shared" si="22"/>
        <v>0</v>
      </c>
      <c r="M58" s="485"/>
      <c r="N58" s="476">
        <f t="shared" si="5"/>
        <v>0</v>
      </c>
      <c r="O58" s="476">
        <f t="shared" si="6"/>
        <v>0</v>
      </c>
      <c r="P58" s="241"/>
    </row>
    <row r="59" spans="2:16">
      <c r="B59" s="160" t="str">
        <f t="shared" si="4"/>
        <v/>
      </c>
      <c r="C59" s="470">
        <f>IF(D11="","-",+C58+1)</f>
        <v>2057</v>
      </c>
      <c r="D59" s="483">
        <f>IF(F58+SUM(E$17:E58)=D$10,F58,D$10-SUM(E$17:E58))</f>
        <v>0</v>
      </c>
      <c r="E59" s="482">
        <f t="shared" si="18"/>
        <v>0</v>
      </c>
      <c r="F59" s="483">
        <f t="shared" si="19"/>
        <v>0</v>
      </c>
      <c r="G59" s="484">
        <f t="shared" si="20"/>
        <v>0</v>
      </c>
      <c r="H59" s="453">
        <f t="shared" si="21"/>
        <v>0</v>
      </c>
      <c r="I59" s="473">
        <f t="shared" si="3"/>
        <v>0</v>
      </c>
      <c r="J59" s="473"/>
      <c r="K59" s="485"/>
      <c r="L59" s="476">
        <f t="shared" si="22"/>
        <v>0</v>
      </c>
      <c r="M59" s="485"/>
      <c r="N59" s="476">
        <f t="shared" si="5"/>
        <v>0</v>
      </c>
      <c r="O59" s="476">
        <f t="shared" si="6"/>
        <v>0</v>
      </c>
      <c r="P59" s="241"/>
    </row>
    <row r="60" spans="2:16">
      <c r="B60" s="160" t="str">
        <f t="shared" si="4"/>
        <v/>
      </c>
      <c r="C60" s="470">
        <f>IF(D11="","-",+C59+1)</f>
        <v>2058</v>
      </c>
      <c r="D60" s="483">
        <f>IF(F59+SUM(E$17:E59)=D$10,F59,D$10-SUM(E$17:E59))</f>
        <v>0</v>
      </c>
      <c r="E60" s="482">
        <f t="shared" si="18"/>
        <v>0</v>
      </c>
      <c r="F60" s="483">
        <f t="shared" si="19"/>
        <v>0</v>
      </c>
      <c r="G60" s="484">
        <f t="shared" si="20"/>
        <v>0</v>
      </c>
      <c r="H60" s="453">
        <f t="shared" si="21"/>
        <v>0</v>
      </c>
      <c r="I60" s="473">
        <f t="shared" si="3"/>
        <v>0</v>
      </c>
      <c r="J60" s="473"/>
      <c r="K60" s="485"/>
      <c r="L60" s="476">
        <f t="shared" si="22"/>
        <v>0</v>
      </c>
      <c r="M60" s="485"/>
      <c r="N60" s="476">
        <f t="shared" si="5"/>
        <v>0</v>
      </c>
      <c r="O60" s="476">
        <f t="shared" si="6"/>
        <v>0</v>
      </c>
      <c r="P60" s="241"/>
    </row>
    <row r="61" spans="2:16">
      <c r="B61" s="160" t="str">
        <f t="shared" si="4"/>
        <v/>
      </c>
      <c r="C61" s="470">
        <f>IF(D11="","-",+C60+1)</f>
        <v>2059</v>
      </c>
      <c r="D61" s="483">
        <f>IF(F60+SUM(E$17:E60)=D$10,F60,D$10-SUM(E$17:E60))</f>
        <v>0</v>
      </c>
      <c r="E61" s="482">
        <f t="shared" si="18"/>
        <v>0</v>
      </c>
      <c r="F61" s="483">
        <f t="shared" si="19"/>
        <v>0</v>
      </c>
      <c r="G61" s="484">
        <f t="shared" si="20"/>
        <v>0</v>
      </c>
      <c r="H61" s="453">
        <f t="shared" si="21"/>
        <v>0</v>
      </c>
      <c r="I61" s="473">
        <f t="shared" si="3"/>
        <v>0</v>
      </c>
      <c r="J61" s="473"/>
      <c r="K61" s="485"/>
      <c r="L61" s="476">
        <f t="shared" si="22"/>
        <v>0</v>
      </c>
      <c r="M61" s="485"/>
      <c r="N61" s="476">
        <f t="shared" si="5"/>
        <v>0</v>
      </c>
      <c r="O61" s="476">
        <f t="shared" si="6"/>
        <v>0</v>
      </c>
      <c r="P61" s="241"/>
    </row>
    <row r="62" spans="2:16">
      <c r="B62" s="160" t="str">
        <f t="shared" si="4"/>
        <v/>
      </c>
      <c r="C62" s="470">
        <f>IF(D11="","-",+C61+1)</f>
        <v>2060</v>
      </c>
      <c r="D62" s="483">
        <f>IF(F61+SUM(E$17:E61)=D$10,F61,D$10-SUM(E$17:E61))</f>
        <v>0</v>
      </c>
      <c r="E62" s="482">
        <f t="shared" si="18"/>
        <v>0</v>
      </c>
      <c r="F62" s="483">
        <f t="shared" si="19"/>
        <v>0</v>
      </c>
      <c r="G62" s="484">
        <f t="shared" si="20"/>
        <v>0</v>
      </c>
      <c r="H62" s="453">
        <f t="shared" si="21"/>
        <v>0</v>
      </c>
      <c r="I62" s="473">
        <f t="shared" si="3"/>
        <v>0</v>
      </c>
      <c r="J62" s="473"/>
      <c r="K62" s="485"/>
      <c r="L62" s="476">
        <f t="shared" si="22"/>
        <v>0</v>
      </c>
      <c r="M62" s="485"/>
      <c r="N62" s="476">
        <f t="shared" si="5"/>
        <v>0</v>
      </c>
      <c r="O62" s="476">
        <f t="shared" si="6"/>
        <v>0</v>
      </c>
      <c r="P62" s="241"/>
    </row>
    <row r="63" spans="2:16">
      <c r="B63" s="160" t="str">
        <f t="shared" si="4"/>
        <v/>
      </c>
      <c r="C63" s="470">
        <f>IF(D11="","-",+C62+1)</f>
        <v>2061</v>
      </c>
      <c r="D63" s="483">
        <f>IF(F62+SUM(E$17:E62)=D$10,F62,D$10-SUM(E$17:E62))</f>
        <v>0</v>
      </c>
      <c r="E63" s="482">
        <f t="shared" si="18"/>
        <v>0</v>
      </c>
      <c r="F63" s="483">
        <f t="shared" si="19"/>
        <v>0</v>
      </c>
      <c r="G63" s="484">
        <f t="shared" si="20"/>
        <v>0</v>
      </c>
      <c r="H63" s="453">
        <f t="shared" si="21"/>
        <v>0</v>
      </c>
      <c r="I63" s="473">
        <f t="shared" si="3"/>
        <v>0</v>
      </c>
      <c r="J63" s="473"/>
      <c r="K63" s="485"/>
      <c r="L63" s="476">
        <f t="shared" si="22"/>
        <v>0</v>
      </c>
      <c r="M63" s="485"/>
      <c r="N63" s="476">
        <f t="shared" si="5"/>
        <v>0</v>
      </c>
      <c r="O63" s="476">
        <f t="shared" si="6"/>
        <v>0</v>
      </c>
      <c r="P63" s="241"/>
    </row>
    <row r="64" spans="2:16">
      <c r="B64" s="160" t="str">
        <f t="shared" si="4"/>
        <v/>
      </c>
      <c r="C64" s="470">
        <f>IF(D11="","-",+C63+1)</f>
        <v>2062</v>
      </c>
      <c r="D64" s="483">
        <f>IF(F63+SUM(E$17:E63)=D$10,F63,D$10-SUM(E$17:E63))</f>
        <v>0</v>
      </c>
      <c r="E64" s="482">
        <f t="shared" si="18"/>
        <v>0</v>
      </c>
      <c r="F64" s="483">
        <f t="shared" si="19"/>
        <v>0</v>
      </c>
      <c r="G64" s="484">
        <f t="shared" si="20"/>
        <v>0</v>
      </c>
      <c r="H64" s="453">
        <f t="shared" si="21"/>
        <v>0</v>
      </c>
      <c r="I64" s="473">
        <f t="shared" si="3"/>
        <v>0</v>
      </c>
      <c r="J64" s="473"/>
      <c r="K64" s="485"/>
      <c r="L64" s="476">
        <f t="shared" si="22"/>
        <v>0</v>
      </c>
      <c r="M64" s="485"/>
      <c r="N64" s="476">
        <f t="shared" si="5"/>
        <v>0</v>
      </c>
      <c r="O64" s="476">
        <f t="shared" si="6"/>
        <v>0</v>
      </c>
      <c r="P64" s="241"/>
    </row>
    <row r="65" spans="2:16">
      <c r="B65" s="160" t="str">
        <f t="shared" si="4"/>
        <v/>
      </c>
      <c r="C65" s="470">
        <f>IF(D11="","-",+C64+1)</f>
        <v>2063</v>
      </c>
      <c r="D65" s="483">
        <f>IF(F64+SUM(E$17:E64)=D$10,F64,D$10-SUM(E$17:E64))</f>
        <v>0</v>
      </c>
      <c r="E65" s="482">
        <f t="shared" si="18"/>
        <v>0</v>
      </c>
      <c r="F65" s="483">
        <f t="shared" si="19"/>
        <v>0</v>
      </c>
      <c r="G65" s="484">
        <f t="shared" si="20"/>
        <v>0</v>
      </c>
      <c r="H65" s="453">
        <f t="shared" si="21"/>
        <v>0</v>
      </c>
      <c r="I65" s="473">
        <f t="shared" si="3"/>
        <v>0</v>
      </c>
      <c r="J65" s="473"/>
      <c r="K65" s="485"/>
      <c r="L65" s="476">
        <f t="shared" si="22"/>
        <v>0</v>
      </c>
      <c r="M65" s="485"/>
      <c r="N65" s="476">
        <f t="shared" si="5"/>
        <v>0</v>
      </c>
      <c r="O65" s="476">
        <f t="shared" si="6"/>
        <v>0</v>
      </c>
      <c r="P65" s="241"/>
    </row>
    <row r="66" spans="2:16">
      <c r="B66" s="160" t="str">
        <f t="shared" si="4"/>
        <v/>
      </c>
      <c r="C66" s="470">
        <f>IF(D11="","-",+C65+1)</f>
        <v>2064</v>
      </c>
      <c r="D66" s="483">
        <f>IF(F65+SUM(E$17:E65)=D$10,F65,D$10-SUM(E$17:E65))</f>
        <v>0</v>
      </c>
      <c r="E66" s="482">
        <f t="shared" si="18"/>
        <v>0</v>
      </c>
      <c r="F66" s="483">
        <f t="shared" si="19"/>
        <v>0</v>
      </c>
      <c r="G66" s="484">
        <f t="shared" si="20"/>
        <v>0</v>
      </c>
      <c r="H66" s="453">
        <f t="shared" si="21"/>
        <v>0</v>
      </c>
      <c r="I66" s="473">
        <f t="shared" si="3"/>
        <v>0</v>
      </c>
      <c r="J66" s="473"/>
      <c r="K66" s="485"/>
      <c r="L66" s="476">
        <f t="shared" si="22"/>
        <v>0</v>
      </c>
      <c r="M66" s="485"/>
      <c r="N66" s="476">
        <f t="shared" si="5"/>
        <v>0</v>
      </c>
      <c r="O66" s="476">
        <f t="shared" si="6"/>
        <v>0</v>
      </c>
      <c r="P66" s="241"/>
    </row>
    <row r="67" spans="2:16">
      <c r="B67" s="160" t="str">
        <f t="shared" si="4"/>
        <v/>
      </c>
      <c r="C67" s="470">
        <f>IF(D11="","-",+C66+1)</f>
        <v>2065</v>
      </c>
      <c r="D67" s="483">
        <f>IF(F66+SUM(E$17:E66)=D$10,F66,D$10-SUM(E$17:E66))</f>
        <v>0</v>
      </c>
      <c r="E67" s="482">
        <f t="shared" si="18"/>
        <v>0</v>
      </c>
      <c r="F67" s="483">
        <f t="shared" si="19"/>
        <v>0</v>
      </c>
      <c r="G67" s="484">
        <f t="shared" si="20"/>
        <v>0</v>
      </c>
      <c r="H67" s="453">
        <f t="shared" si="21"/>
        <v>0</v>
      </c>
      <c r="I67" s="473">
        <f t="shared" si="3"/>
        <v>0</v>
      </c>
      <c r="J67" s="473"/>
      <c r="K67" s="485"/>
      <c r="L67" s="476">
        <f t="shared" si="22"/>
        <v>0</v>
      </c>
      <c r="M67" s="485"/>
      <c r="N67" s="476">
        <f t="shared" si="5"/>
        <v>0</v>
      </c>
      <c r="O67" s="476">
        <f t="shared" si="6"/>
        <v>0</v>
      </c>
      <c r="P67" s="241"/>
    </row>
    <row r="68" spans="2:16">
      <c r="B68" s="160" t="str">
        <f t="shared" si="4"/>
        <v/>
      </c>
      <c r="C68" s="470">
        <f>IF(D11="","-",+C67+1)</f>
        <v>2066</v>
      </c>
      <c r="D68" s="483">
        <f>IF(F67+SUM(E$17:E67)=D$10,F67,D$10-SUM(E$17:E67))</f>
        <v>0</v>
      </c>
      <c r="E68" s="482">
        <f t="shared" si="18"/>
        <v>0</v>
      </c>
      <c r="F68" s="483">
        <f t="shared" si="19"/>
        <v>0</v>
      </c>
      <c r="G68" s="484">
        <f t="shared" si="20"/>
        <v>0</v>
      </c>
      <c r="H68" s="453">
        <f t="shared" si="21"/>
        <v>0</v>
      </c>
      <c r="I68" s="473">
        <f t="shared" si="3"/>
        <v>0</v>
      </c>
      <c r="J68" s="473"/>
      <c r="K68" s="485"/>
      <c r="L68" s="476">
        <f t="shared" si="22"/>
        <v>0</v>
      </c>
      <c r="M68" s="485"/>
      <c r="N68" s="476">
        <f t="shared" si="5"/>
        <v>0</v>
      </c>
      <c r="O68" s="476">
        <f t="shared" si="6"/>
        <v>0</v>
      </c>
      <c r="P68" s="241"/>
    </row>
    <row r="69" spans="2:16">
      <c r="B69" s="160" t="str">
        <f t="shared" si="4"/>
        <v/>
      </c>
      <c r="C69" s="470">
        <f>IF(D11="","-",+C68+1)</f>
        <v>2067</v>
      </c>
      <c r="D69" s="483">
        <f>IF(F68+SUM(E$17:E68)=D$10,F68,D$10-SUM(E$17:E68))</f>
        <v>0</v>
      </c>
      <c r="E69" s="482">
        <f t="shared" si="18"/>
        <v>0</v>
      </c>
      <c r="F69" s="483">
        <f t="shared" si="19"/>
        <v>0</v>
      </c>
      <c r="G69" s="484">
        <f t="shared" si="20"/>
        <v>0</v>
      </c>
      <c r="H69" s="453">
        <f t="shared" si="21"/>
        <v>0</v>
      </c>
      <c r="I69" s="473">
        <f t="shared" si="3"/>
        <v>0</v>
      </c>
      <c r="J69" s="473"/>
      <c r="K69" s="485"/>
      <c r="L69" s="476">
        <f t="shared" si="22"/>
        <v>0</v>
      </c>
      <c r="M69" s="485"/>
      <c r="N69" s="476">
        <f t="shared" si="5"/>
        <v>0</v>
      </c>
      <c r="O69" s="476">
        <f t="shared" si="6"/>
        <v>0</v>
      </c>
      <c r="P69" s="241"/>
    </row>
    <row r="70" spans="2:16">
      <c r="B70" s="160" t="str">
        <f t="shared" si="4"/>
        <v/>
      </c>
      <c r="C70" s="470">
        <f>IF(D11="","-",+C69+1)</f>
        <v>2068</v>
      </c>
      <c r="D70" s="483">
        <f>IF(F69+SUM(E$17:E69)=D$10,F69,D$10-SUM(E$17:E69))</f>
        <v>0</v>
      </c>
      <c r="E70" s="482">
        <f t="shared" si="18"/>
        <v>0</v>
      </c>
      <c r="F70" s="483">
        <f t="shared" si="19"/>
        <v>0</v>
      </c>
      <c r="G70" s="484">
        <f t="shared" si="20"/>
        <v>0</v>
      </c>
      <c r="H70" s="453">
        <f t="shared" si="21"/>
        <v>0</v>
      </c>
      <c r="I70" s="473">
        <f t="shared" si="3"/>
        <v>0</v>
      </c>
      <c r="J70" s="473"/>
      <c r="K70" s="485"/>
      <c r="L70" s="476">
        <f t="shared" si="22"/>
        <v>0</v>
      </c>
      <c r="M70" s="485"/>
      <c r="N70" s="476">
        <f t="shared" si="5"/>
        <v>0</v>
      </c>
      <c r="O70" s="476">
        <f t="shared" si="6"/>
        <v>0</v>
      </c>
      <c r="P70" s="241"/>
    </row>
    <row r="71" spans="2:16">
      <c r="B71" s="160" t="str">
        <f t="shared" si="4"/>
        <v/>
      </c>
      <c r="C71" s="470">
        <f>IF(D11="","-",+C70+1)</f>
        <v>2069</v>
      </c>
      <c r="D71" s="483">
        <f>IF(F70+SUM(E$17:E70)=D$10,F70,D$10-SUM(E$17:E70))</f>
        <v>0</v>
      </c>
      <c r="E71" s="482">
        <f t="shared" si="18"/>
        <v>0</v>
      </c>
      <c r="F71" s="483">
        <f t="shared" si="19"/>
        <v>0</v>
      </c>
      <c r="G71" s="484">
        <f t="shared" si="20"/>
        <v>0</v>
      </c>
      <c r="H71" s="453">
        <f t="shared" si="21"/>
        <v>0</v>
      </c>
      <c r="I71" s="473">
        <f t="shared" si="3"/>
        <v>0</v>
      </c>
      <c r="J71" s="473"/>
      <c r="K71" s="485"/>
      <c r="L71" s="476">
        <f t="shared" si="22"/>
        <v>0</v>
      </c>
      <c r="M71" s="485"/>
      <c r="N71" s="476">
        <f t="shared" si="5"/>
        <v>0</v>
      </c>
      <c r="O71" s="476">
        <f t="shared" si="6"/>
        <v>0</v>
      </c>
      <c r="P71" s="241"/>
    </row>
    <row r="72" spans="2:16" ht="13.5" thickBot="1">
      <c r="B72" s="160" t="str">
        <f t="shared" si="4"/>
        <v/>
      </c>
      <c r="C72" s="487">
        <f>IF(D11="","-",+C71+1)</f>
        <v>2070</v>
      </c>
      <c r="D72" s="488">
        <f>IF(F71+SUM(E$17:E71)=D$10,F71,D$10-SUM(E$17:E71))</f>
        <v>0</v>
      </c>
      <c r="E72" s="489">
        <f t="shared" si="18"/>
        <v>0</v>
      </c>
      <c r="F72" s="488">
        <f t="shared" si="19"/>
        <v>0</v>
      </c>
      <c r="G72" s="542">
        <f t="shared" si="20"/>
        <v>0</v>
      </c>
      <c r="H72" s="433">
        <f t="shared" si="21"/>
        <v>0</v>
      </c>
      <c r="I72" s="491">
        <f t="shared" si="3"/>
        <v>0</v>
      </c>
      <c r="J72" s="473"/>
      <c r="K72" s="492"/>
      <c r="L72" s="493">
        <f t="shared" si="22"/>
        <v>0</v>
      </c>
      <c r="M72" s="492"/>
      <c r="N72" s="493">
        <f t="shared" si="5"/>
        <v>0</v>
      </c>
      <c r="O72" s="493">
        <f t="shared" si="6"/>
        <v>0</v>
      </c>
      <c r="P72" s="241"/>
    </row>
    <row r="73" spans="2:16">
      <c r="C73" s="345" t="s">
        <v>77</v>
      </c>
      <c r="D73" s="346"/>
      <c r="E73" s="346">
        <f>SUM(E17:E72)</f>
        <v>1692023.1700000002</v>
      </c>
      <c r="F73" s="346"/>
      <c r="G73" s="346">
        <f>SUM(G17:G72)</f>
        <v>5686685.7270485107</v>
      </c>
      <c r="H73" s="346">
        <f>SUM(H17:H72)</f>
        <v>5686685.7270485107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17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193510.26190476189</v>
      </c>
      <c r="N87" s="506">
        <f>IF(J92&lt;D11,0,VLOOKUP(J92,C17:O72,11))</f>
        <v>193510.26190476189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201555.33840860223</v>
      </c>
      <c r="N88" s="510">
        <f>IF(J92&lt;D11,0,VLOOKUP(J92,C99:P154,7))</f>
        <v>201555.33840860223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Grady Customer Connection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8045.0765038403333</v>
      </c>
      <c r="N89" s="515">
        <f>+N88-N87</f>
        <v>8045.0765038403333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TP2013002</v>
      </c>
      <c r="E91" s="520" t="str">
        <f>E9</f>
        <v xml:space="preserve">  SPP Project ID = 30748</v>
      </c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607">
        <v>1692023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f>IF(D11=I10,"",D11)</f>
        <v>2015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f>IF(D11=I10,"",D12)</f>
        <v>12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41269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2015</v>
      </c>
      <c r="D99" s="582">
        <v>0</v>
      </c>
      <c r="E99" s="606">
        <v>0</v>
      </c>
      <c r="F99" s="582">
        <v>1625288</v>
      </c>
      <c r="G99" s="606">
        <v>812644</v>
      </c>
      <c r="H99" s="585">
        <v>110878.7398202499</v>
      </c>
      <c r="I99" s="605">
        <v>110878.7398202499</v>
      </c>
      <c r="J99" s="476">
        <f>+I99-H99</f>
        <v>0</v>
      </c>
      <c r="K99" s="476"/>
      <c r="L99" s="552">
        <f>+H99</f>
        <v>110878.7398202499</v>
      </c>
      <c r="M99" s="475">
        <f t="shared" ref="M99:M130" si="23">IF(L99&lt;&gt;0,+H99-L99,0)</f>
        <v>0</v>
      </c>
      <c r="N99" s="552">
        <f>+I99</f>
        <v>110878.7398202499</v>
      </c>
      <c r="O99" s="475">
        <f t="shared" ref="O99:O130" si="24">IF(N99&lt;&gt;0,+I99-N99,0)</f>
        <v>0</v>
      </c>
      <c r="P99" s="475">
        <f t="shared" ref="P99:P130" si="25">+O99-M99</f>
        <v>0</v>
      </c>
    </row>
    <row r="100" spans="1:16">
      <c r="B100" s="160" t="str">
        <f>IF(D100=F99,"","IU")</f>
        <v>IU</v>
      </c>
      <c r="C100" s="470">
        <f>IF(D93="","-",+C99+1)</f>
        <v>2016</v>
      </c>
      <c r="D100" s="582">
        <v>1692023</v>
      </c>
      <c r="E100" s="583">
        <v>36783</v>
      </c>
      <c r="F100" s="584">
        <v>1655240</v>
      </c>
      <c r="G100" s="584">
        <v>1673631.5</v>
      </c>
      <c r="H100" s="604">
        <v>252540.45816220198</v>
      </c>
      <c r="I100" s="605">
        <v>252540.45816220198</v>
      </c>
      <c r="J100" s="476">
        <f>+I100-H100</f>
        <v>0</v>
      </c>
      <c r="K100" s="476"/>
      <c r="L100" s="474">
        <f t="shared" ref="L100:L105" si="26">H100</f>
        <v>252540.45816220198</v>
      </c>
      <c r="M100" s="601">
        <f t="shared" ref="M100:M105" si="27">IF(L100&lt;&gt;0,+H100-L100,0)</f>
        <v>0</v>
      </c>
      <c r="N100" s="474">
        <f t="shared" ref="N100:N105" si="28">I100</f>
        <v>252540.45816220198</v>
      </c>
      <c r="O100" s="476">
        <f>IF(N100&lt;&gt;0,+I100-N100,0)</f>
        <v>0</v>
      </c>
      <c r="P100" s="473">
        <f>+O100-M100</f>
        <v>0</v>
      </c>
    </row>
    <row r="101" spans="1:16">
      <c r="B101" s="160" t="str">
        <f t="shared" ref="B101:B154" si="29">IF(D101=F100,"","IU")</f>
        <v/>
      </c>
      <c r="C101" s="470">
        <f>IF(D93="","-",+C100+1)</f>
        <v>2017</v>
      </c>
      <c r="D101" s="582">
        <v>1655240</v>
      </c>
      <c r="E101" s="583">
        <v>36783</v>
      </c>
      <c r="F101" s="584">
        <v>1618457</v>
      </c>
      <c r="G101" s="584">
        <v>1636848.5</v>
      </c>
      <c r="H101" s="604">
        <v>244421.35953995908</v>
      </c>
      <c r="I101" s="605">
        <v>244421.35953995908</v>
      </c>
      <c r="J101" s="476">
        <f t="shared" ref="J101:J154" si="30">+I101-H101</f>
        <v>0</v>
      </c>
      <c r="K101" s="476"/>
      <c r="L101" s="474">
        <f t="shared" si="26"/>
        <v>244421.35953995908</v>
      </c>
      <c r="M101" s="601">
        <f t="shared" si="27"/>
        <v>0</v>
      </c>
      <c r="N101" s="474">
        <f t="shared" si="28"/>
        <v>244421.35953995908</v>
      </c>
      <c r="O101" s="476">
        <f>IF(N101&lt;&gt;0,+I101-N101,0)</f>
        <v>0</v>
      </c>
      <c r="P101" s="473">
        <f>+O101-M101</f>
        <v>0</v>
      </c>
    </row>
    <row r="102" spans="1:16">
      <c r="B102" s="160" t="str">
        <f t="shared" si="29"/>
        <v/>
      </c>
      <c r="C102" s="470">
        <f>IF(D93="","-",+C101+1)</f>
        <v>2018</v>
      </c>
      <c r="D102" s="582">
        <v>1618457</v>
      </c>
      <c r="E102" s="583">
        <v>39349</v>
      </c>
      <c r="F102" s="584">
        <v>1579108</v>
      </c>
      <c r="G102" s="584">
        <v>1598782.5</v>
      </c>
      <c r="H102" s="604">
        <v>203600.82637045698</v>
      </c>
      <c r="I102" s="605">
        <v>203600.82637045698</v>
      </c>
      <c r="J102" s="476">
        <f t="shared" si="30"/>
        <v>0</v>
      </c>
      <c r="K102" s="476"/>
      <c r="L102" s="474">
        <f t="shared" si="26"/>
        <v>203600.82637045698</v>
      </c>
      <c r="M102" s="601">
        <f t="shared" si="27"/>
        <v>0</v>
      </c>
      <c r="N102" s="474">
        <f t="shared" si="28"/>
        <v>203600.82637045698</v>
      </c>
      <c r="O102" s="476">
        <f>IF(N102&lt;&gt;0,+I102-N102,0)</f>
        <v>0</v>
      </c>
      <c r="P102" s="473">
        <f>+O102-M102</f>
        <v>0</v>
      </c>
    </row>
    <row r="103" spans="1:16">
      <c r="B103" s="160" t="str">
        <f t="shared" si="29"/>
        <v/>
      </c>
      <c r="C103" s="470">
        <f>IF(D93="","-",+C102+1)</f>
        <v>2019</v>
      </c>
      <c r="D103" s="582">
        <v>1579108</v>
      </c>
      <c r="E103" s="583">
        <v>41269</v>
      </c>
      <c r="F103" s="584">
        <v>1537839</v>
      </c>
      <c r="G103" s="584">
        <v>1558473.5</v>
      </c>
      <c r="H103" s="604">
        <v>201969.47712497122</v>
      </c>
      <c r="I103" s="605">
        <v>201969.47712497122</v>
      </c>
      <c r="J103" s="476">
        <f t="shared" si="30"/>
        <v>0</v>
      </c>
      <c r="K103" s="476"/>
      <c r="L103" s="474">
        <f t="shared" si="26"/>
        <v>201969.47712497122</v>
      </c>
      <c r="M103" s="601">
        <f t="shared" si="27"/>
        <v>0</v>
      </c>
      <c r="N103" s="474">
        <f t="shared" si="28"/>
        <v>201969.47712497122</v>
      </c>
      <c r="O103" s="476">
        <f t="shared" si="24"/>
        <v>0</v>
      </c>
      <c r="P103" s="476">
        <f t="shared" si="25"/>
        <v>0</v>
      </c>
    </row>
    <row r="104" spans="1:16">
      <c r="B104" s="160" t="str">
        <f t="shared" si="29"/>
        <v/>
      </c>
      <c r="C104" s="470">
        <f>IF(D93="","-",+C103+1)</f>
        <v>2020</v>
      </c>
      <c r="D104" s="582">
        <v>1537839</v>
      </c>
      <c r="E104" s="583">
        <v>39349</v>
      </c>
      <c r="F104" s="584">
        <v>1498490</v>
      </c>
      <c r="G104" s="584">
        <v>1518164.5</v>
      </c>
      <c r="H104" s="604">
        <v>214389.19300086203</v>
      </c>
      <c r="I104" s="605">
        <v>214389.19300086203</v>
      </c>
      <c r="J104" s="476">
        <f t="shared" si="30"/>
        <v>0</v>
      </c>
      <c r="K104" s="476"/>
      <c r="L104" s="474">
        <f t="shared" si="26"/>
        <v>214389.19300086203</v>
      </c>
      <c r="M104" s="601">
        <f t="shared" si="27"/>
        <v>0</v>
      </c>
      <c r="N104" s="474">
        <f t="shared" si="28"/>
        <v>214389.19300086203</v>
      </c>
      <c r="O104" s="476">
        <f t="shared" si="24"/>
        <v>0</v>
      </c>
      <c r="P104" s="476">
        <f t="shared" si="25"/>
        <v>0</v>
      </c>
    </row>
    <row r="105" spans="1:16">
      <c r="B105" s="160" t="str">
        <f t="shared" si="29"/>
        <v/>
      </c>
      <c r="C105" s="470">
        <f>IF(D93="","-",+C104+1)</f>
        <v>2021</v>
      </c>
      <c r="D105" s="582">
        <v>1498490</v>
      </c>
      <c r="E105" s="583">
        <v>41269</v>
      </c>
      <c r="F105" s="584">
        <v>1457221</v>
      </c>
      <c r="G105" s="584">
        <v>1477855.5</v>
      </c>
      <c r="H105" s="604">
        <v>209438.30504191047</v>
      </c>
      <c r="I105" s="605">
        <v>209438.30504191047</v>
      </c>
      <c r="J105" s="476">
        <f t="shared" si="30"/>
        <v>0</v>
      </c>
      <c r="K105" s="476"/>
      <c r="L105" s="474">
        <f t="shared" si="26"/>
        <v>209438.30504191047</v>
      </c>
      <c r="M105" s="601">
        <f t="shared" si="27"/>
        <v>0</v>
      </c>
      <c r="N105" s="474">
        <f t="shared" si="28"/>
        <v>209438.30504191047</v>
      </c>
      <c r="O105" s="476">
        <f t="shared" ref="O105" si="31">IF(N105&lt;&gt;0,+I105-N105,0)</f>
        <v>0</v>
      </c>
      <c r="P105" s="476">
        <f t="shared" si="25"/>
        <v>0</v>
      </c>
    </row>
    <row r="106" spans="1:16">
      <c r="B106" s="160" t="str">
        <f t="shared" si="29"/>
        <v/>
      </c>
      <c r="C106" s="631">
        <f>IF(D93="","-",+C105+1)</f>
        <v>2022</v>
      </c>
      <c r="D106" s="345">
        <v>1457221</v>
      </c>
      <c r="E106" s="482">
        <v>43385</v>
      </c>
      <c r="F106" s="483">
        <v>1413836</v>
      </c>
      <c r="G106" s="483">
        <v>1435528.5</v>
      </c>
      <c r="H106" s="486">
        <v>201555.33840860223</v>
      </c>
      <c r="I106" s="540">
        <v>201555.33840860223</v>
      </c>
      <c r="J106" s="476">
        <f t="shared" si="30"/>
        <v>0</v>
      </c>
      <c r="K106" s="476"/>
      <c r="L106" s="485"/>
      <c r="M106" s="476">
        <f t="shared" si="23"/>
        <v>0</v>
      </c>
      <c r="N106" s="485"/>
      <c r="O106" s="476">
        <f t="shared" si="24"/>
        <v>0</v>
      </c>
      <c r="P106" s="476">
        <f t="shared" si="25"/>
        <v>0</v>
      </c>
    </row>
    <row r="107" spans="1:16">
      <c r="B107" s="160" t="str">
        <f t="shared" si="29"/>
        <v/>
      </c>
      <c r="C107" s="470">
        <f>IF(D93="","-",+C106+1)</f>
        <v>2023</v>
      </c>
      <c r="D107" s="345">
        <f>IF(F106+SUM(E$99:E106)=D$92,F106,D$92-SUM(E$99:E106))</f>
        <v>1413836</v>
      </c>
      <c r="E107" s="482">
        <f t="shared" ref="E107:E154" si="32">IF(+J$96&lt;F106,J$96,D107)</f>
        <v>41269</v>
      </c>
      <c r="F107" s="483">
        <f t="shared" ref="F107:F154" si="33">+D107-E107</f>
        <v>1372567</v>
      </c>
      <c r="G107" s="483">
        <f t="shared" ref="G107:G154" si="34">+(F107+D107)/2</f>
        <v>1393201.5</v>
      </c>
      <c r="H107" s="486">
        <f t="shared" ref="H107:H154" si="35">+J$94*G107+E107</f>
        <v>199805.28994062493</v>
      </c>
      <c r="I107" s="540">
        <f t="shared" ref="I107:I154" si="36">+J$95*G107+E107</f>
        <v>199805.28994062493</v>
      </c>
      <c r="J107" s="476">
        <f t="shared" si="30"/>
        <v>0</v>
      </c>
      <c r="K107" s="476"/>
      <c r="L107" s="485"/>
      <c r="M107" s="476">
        <f t="shared" si="23"/>
        <v>0</v>
      </c>
      <c r="N107" s="485"/>
      <c r="O107" s="476">
        <f t="shared" si="24"/>
        <v>0</v>
      </c>
      <c r="P107" s="476">
        <f t="shared" si="25"/>
        <v>0</v>
      </c>
    </row>
    <row r="108" spans="1:16">
      <c r="B108" s="160" t="str">
        <f t="shared" si="29"/>
        <v/>
      </c>
      <c r="C108" s="470">
        <f>IF(D93="","-",+C107+1)</f>
        <v>2024</v>
      </c>
      <c r="D108" s="345">
        <f>IF(F107+SUM(E$99:E107)=D$92,F107,D$92-SUM(E$99:E107))</f>
        <v>1372567</v>
      </c>
      <c r="E108" s="482">
        <f t="shared" si="32"/>
        <v>41269</v>
      </c>
      <c r="F108" s="483">
        <f t="shared" si="33"/>
        <v>1331298</v>
      </c>
      <c r="G108" s="483">
        <f t="shared" si="34"/>
        <v>1351932.5</v>
      </c>
      <c r="H108" s="486">
        <f t="shared" si="35"/>
        <v>195109.17516500945</v>
      </c>
      <c r="I108" s="540">
        <f t="shared" si="36"/>
        <v>195109.17516500945</v>
      </c>
      <c r="J108" s="476">
        <f t="shared" si="30"/>
        <v>0</v>
      </c>
      <c r="K108" s="476"/>
      <c r="L108" s="485"/>
      <c r="M108" s="476">
        <f t="shared" si="23"/>
        <v>0</v>
      </c>
      <c r="N108" s="485"/>
      <c r="O108" s="476">
        <f t="shared" si="24"/>
        <v>0</v>
      </c>
      <c r="P108" s="476">
        <f t="shared" si="25"/>
        <v>0</v>
      </c>
    </row>
    <row r="109" spans="1:16">
      <c r="B109" s="160" t="str">
        <f t="shared" si="29"/>
        <v/>
      </c>
      <c r="C109" s="470">
        <f>IF(D93="","-",+C108+1)</f>
        <v>2025</v>
      </c>
      <c r="D109" s="345">
        <f>IF(F108+SUM(E$99:E108)=D$92,F108,D$92-SUM(E$99:E108))</f>
        <v>1331298</v>
      </c>
      <c r="E109" s="482">
        <f t="shared" si="32"/>
        <v>41269</v>
      </c>
      <c r="F109" s="483">
        <f t="shared" si="33"/>
        <v>1290029</v>
      </c>
      <c r="G109" s="483">
        <f t="shared" si="34"/>
        <v>1310663.5</v>
      </c>
      <c r="H109" s="486">
        <f t="shared" si="35"/>
        <v>190413.06038939397</v>
      </c>
      <c r="I109" s="540">
        <f t="shared" si="36"/>
        <v>190413.06038939397</v>
      </c>
      <c r="J109" s="476">
        <f t="shared" si="30"/>
        <v>0</v>
      </c>
      <c r="K109" s="476"/>
      <c r="L109" s="485"/>
      <c r="M109" s="476">
        <f t="shared" si="23"/>
        <v>0</v>
      </c>
      <c r="N109" s="485"/>
      <c r="O109" s="476">
        <f t="shared" si="24"/>
        <v>0</v>
      </c>
      <c r="P109" s="476">
        <f t="shared" si="25"/>
        <v>0</v>
      </c>
    </row>
    <row r="110" spans="1:16">
      <c r="B110" s="160" t="str">
        <f t="shared" si="29"/>
        <v/>
      </c>
      <c r="C110" s="470">
        <f>IF(D93="","-",+C109+1)</f>
        <v>2026</v>
      </c>
      <c r="D110" s="345">
        <f>IF(F109+SUM(E$99:E109)=D$92,F109,D$92-SUM(E$99:E109))</f>
        <v>1290029</v>
      </c>
      <c r="E110" s="482">
        <f t="shared" si="32"/>
        <v>41269</v>
      </c>
      <c r="F110" s="483">
        <f t="shared" si="33"/>
        <v>1248760</v>
      </c>
      <c r="G110" s="483">
        <f t="shared" si="34"/>
        <v>1269394.5</v>
      </c>
      <c r="H110" s="486">
        <f t="shared" si="35"/>
        <v>185716.94561377849</v>
      </c>
      <c r="I110" s="540">
        <f t="shared" si="36"/>
        <v>185716.94561377849</v>
      </c>
      <c r="J110" s="476">
        <f t="shared" si="30"/>
        <v>0</v>
      </c>
      <c r="K110" s="476"/>
      <c r="L110" s="485"/>
      <c r="M110" s="476">
        <f t="shared" si="23"/>
        <v>0</v>
      </c>
      <c r="N110" s="485"/>
      <c r="O110" s="476">
        <f t="shared" si="24"/>
        <v>0</v>
      </c>
      <c r="P110" s="476">
        <f t="shared" si="25"/>
        <v>0</v>
      </c>
    </row>
    <row r="111" spans="1:16">
      <c r="B111" s="160" t="str">
        <f t="shared" si="29"/>
        <v/>
      </c>
      <c r="C111" s="470">
        <f>IF(D93="","-",+C110+1)</f>
        <v>2027</v>
      </c>
      <c r="D111" s="345">
        <f>IF(F110+SUM(E$99:E110)=D$92,F110,D$92-SUM(E$99:E110))</f>
        <v>1248760</v>
      </c>
      <c r="E111" s="482">
        <f t="shared" si="32"/>
        <v>41269</v>
      </c>
      <c r="F111" s="483">
        <f t="shared" si="33"/>
        <v>1207491</v>
      </c>
      <c r="G111" s="483">
        <f t="shared" si="34"/>
        <v>1228125.5</v>
      </c>
      <c r="H111" s="486">
        <f t="shared" si="35"/>
        <v>181020.830838163</v>
      </c>
      <c r="I111" s="540">
        <f t="shared" si="36"/>
        <v>181020.830838163</v>
      </c>
      <c r="J111" s="476">
        <f t="shared" si="30"/>
        <v>0</v>
      </c>
      <c r="K111" s="476"/>
      <c r="L111" s="485"/>
      <c r="M111" s="476">
        <f t="shared" si="23"/>
        <v>0</v>
      </c>
      <c r="N111" s="485"/>
      <c r="O111" s="476">
        <f t="shared" si="24"/>
        <v>0</v>
      </c>
      <c r="P111" s="476">
        <f t="shared" si="25"/>
        <v>0</v>
      </c>
    </row>
    <row r="112" spans="1:16">
      <c r="B112" s="160" t="str">
        <f t="shared" si="29"/>
        <v/>
      </c>
      <c r="C112" s="470">
        <f>IF(D93="","-",+C111+1)</f>
        <v>2028</v>
      </c>
      <c r="D112" s="345">
        <f>IF(F111+SUM(E$99:E111)=D$92,F111,D$92-SUM(E$99:E111))</f>
        <v>1207491</v>
      </c>
      <c r="E112" s="482">
        <f t="shared" si="32"/>
        <v>41269</v>
      </c>
      <c r="F112" s="483">
        <f t="shared" si="33"/>
        <v>1166222</v>
      </c>
      <c r="G112" s="483">
        <f t="shared" si="34"/>
        <v>1186856.5</v>
      </c>
      <c r="H112" s="486">
        <f t="shared" si="35"/>
        <v>176324.71606254752</v>
      </c>
      <c r="I112" s="540">
        <f t="shared" si="36"/>
        <v>176324.71606254752</v>
      </c>
      <c r="J112" s="476">
        <f t="shared" si="30"/>
        <v>0</v>
      </c>
      <c r="K112" s="476"/>
      <c r="L112" s="485"/>
      <c r="M112" s="476">
        <f t="shared" si="23"/>
        <v>0</v>
      </c>
      <c r="N112" s="485"/>
      <c r="O112" s="476">
        <f t="shared" si="24"/>
        <v>0</v>
      </c>
      <c r="P112" s="476">
        <f t="shared" si="25"/>
        <v>0</v>
      </c>
    </row>
    <row r="113" spans="2:16">
      <c r="B113" s="160" t="str">
        <f t="shared" si="29"/>
        <v/>
      </c>
      <c r="C113" s="470">
        <f>IF(D93="","-",+C112+1)</f>
        <v>2029</v>
      </c>
      <c r="D113" s="345">
        <f>IF(F112+SUM(E$99:E112)=D$92,F112,D$92-SUM(E$99:E112))</f>
        <v>1166222</v>
      </c>
      <c r="E113" s="482">
        <f t="shared" si="32"/>
        <v>41269</v>
      </c>
      <c r="F113" s="483">
        <f t="shared" si="33"/>
        <v>1124953</v>
      </c>
      <c r="G113" s="483">
        <f t="shared" si="34"/>
        <v>1145587.5</v>
      </c>
      <c r="H113" s="486">
        <f t="shared" si="35"/>
        <v>171628.60128693204</v>
      </c>
      <c r="I113" s="540">
        <f t="shared" si="36"/>
        <v>171628.60128693204</v>
      </c>
      <c r="J113" s="476">
        <f t="shared" si="30"/>
        <v>0</v>
      </c>
      <c r="K113" s="476"/>
      <c r="L113" s="485"/>
      <c r="M113" s="476">
        <f t="shared" si="23"/>
        <v>0</v>
      </c>
      <c r="N113" s="485"/>
      <c r="O113" s="476">
        <f t="shared" si="24"/>
        <v>0</v>
      </c>
      <c r="P113" s="476">
        <f t="shared" si="25"/>
        <v>0</v>
      </c>
    </row>
    <row r="114" spans="2:16">
      <c r="B114" s="160" t="str">
        <f t="shared" si="29"/>
        <v/>
      </c>
      <c r="C114" s="470">
        <f>IF(D93="","-",+C113+1)</f>
        <v>2030</v>
      </c>
      <c r="D114" s="345">
        <f>IF(F113+SUM(E$99:E113)=D$92,F113,D$92-SUM(E$99:E113))</f>
        <v>1124953</v>
      </c>
      <c r="E114" s="482">
        <f t="shared" si="32"/>
        <v>41269</v>
      </c>
      <c r="F114" s="483">
        <f t="shared" si="33"/>
        <v>1083684</v>
      </c>
      <c r="G114" s="483">
        <f t="shared" si="34"/>
        <v>1104318.5</v>
      </c>
      <c r="H114" s="486">
        <f t="shared" si="35"/>
        <v>166932.48651131656</v>
      </c>
      <c r="I114" s="540">
        <f t="shared" si="36"/>
        <v>166932.48651131656</v>
      </c>
      <c r="J114" s="476">
        <f t="shared" si="30"/>
        <v>0</v>
      </c>
      <c r="K114" s="476"/>
      <c r="L114" s="485"/>
      <c r="M114" s="476">
        <f t="shared" si="23"/>
        <v>0</v>
      </c>
      <c r="N114" s="485"/>
      <c r="O114" s="476">
        <f t="shared" si="24"/>
        <v>0</v>
      </c>
      <c r="P114" s="476">
        <f t="shared" si="25"/>
        <v>0</v>
      </c>
    </row>
    <row r="115" spans="2:16">
      <c r="B115" s="160" t="str">
        <f t="shared" si="29"/>
        <v/>
      </c>
      <c r="C115" s="470">
        <f>IF(D93="","-",+C114+1)</f>
        <v>2031</v>
      </c>
      <c r="D115" s="345">
        <f>IF(F114+SUM(E$99:E114)=D$92,F114,D$92-SUM(E$99:E114))</f>
        <v>1083684</v>
      </c>
      <c r="E115" s="482">
        <f t="shared" si="32"/>
        <v>41269</v>
      </c>
      <c r="F115" s="483">
        <f t="shared" si="33"/>
        <v>1042415</v>
      </c>
      <c r="G115" s="483">
        <f t="shared" si="34"/>
        <v>1063049.5</v>
      </c>
      <c r="H115" s="486">
        <f t="shared" si="35"/>
        <v>162236.3717357011</v>
      </c>
      <c r="I115" s="540">
        <f t="shared" si="36"/>
        <v>162236.3717357011</v>
      </c>
      <c r="J115" s="476">
        <f t="shared" si="30"/>
        <v>0</v>
      </c>
      <c r="K115" s="476"/>
      <c r="L115" s="485"/>
      <c r="M115" s="476">
        <f t="shared" si="23"/>
        <v>0</v>
      </c>
      <c r="N115" s="485"/>
      <c r="O115" s="476">
        <f t="shared" si="24"/>
        <v>0</v>
      </c>
      <c r="P115" s="476">
        <f t="shared" si="25"/>
        <v>0</v>
      </c>
    </row>
    <row r="116" spans="2:16">
      <c r="B116" s="160" t="str">
        <f t="shared" si="29"/>
        <v/>
      </c>
      <c r="C116" s="470">
        <f>IF(D93="","-",+C115+1)</f>
        <v>2032</v>
      </c>
      <c r="D116" s="345">
        <f>IF(F115+SUM(E$99:E115)=D$92,F115,D$92-SUM(E$99:E115))</f>
        <v>1042415</v>
      </c>
      <c r="E116" s="482">
        <f t="shared" si="32"/>
        <v>41269</v>
      </c>
      <c r="F116" s="483">
        <f t="shared" si="33"/>
        <v>1001146</v>
      </c>
      <c r="G116" s="483">
        <f t="shared" si="34"/>
        <v>1021780.5</v>
      </c>
      <c r="H116" s="486">
        <f t="shared" si="35"/>
        <v>157540.25696008559</v>
      </c>
      <c r="I116" s="540">
        <f t="shared" si="36"/>
        <v>157540.25696008559</v>
      </c>
      <c r="J116" s="476">
        <f t="shared" si="30"/>
        <v>0</v>
      </c>
      <c r="K116" s="476"/>
      <c r="L116" s="485"/>
      <c r="M116" s="476">
        <f t="shared" si="23"/>
        <v>0</v>
      </c>
      <c r="N116" s="485"/>
      <c r="O116" s="476">
        <f t="shared" si="24"/>
        <v>0</v>
      </c>
      <c r="P116" s="476">
        <f t="shared" si="25"/>
        <v>0</v>
      </c>
    </row>
    <row r="117" spans="2:16">
      <c r="B117" s="160" t="str">
        <f t="shared" si="29"/>
        <v/>
      </c>
      <c r="C117" s="470">
        <f>IF(D93="","-",+C116+1)</f>
        <v>2033</v>
      </c>
      <c r="D117" s="345">
        <f>IF(F116+SUM(E$99:E116)=D$92,F116,D$92-SUM(E$99:E116))</f>
        <v>1001146</v>
      </c>
      <c r="E117" s="482">
        <f t="shared" si="32"/>
        <v>41269</v>
      </c>
      <c r="F117" s="483">
        <f t="shared" si="33"/>
        <v>959877</v>
      </c>
      <c r="G117" s="483">
        <f t="shared" si="34"/>
        <v>980511.5</v>
      </c>
      <c r="H117" s="486">
        <f t="shared" si="35"/>
        <v>152844.14218447014</v>
      </c>
      <c r="I117" s="540">
        <f t="shared" si="36"/>
        <v>152844.14218447014</v>
      </c>
      <c r="J117" s="476">
        <f t="shared" si="30"/>
        <v>0</v>
      </c>
      <c r="K117" s="476"/>
      <c r="L117" s="485"/>
      <c r="M117" s="476">
        <f t="shared" si="23"/>
        <v>0</v>
      </c>
      <c r="N117" s="485"/>
      <c r="O117" s="476">
        <f t="shared" si="24"/>
        <v>0</v>
      </c>
      <c r="P117" s="476">
        <f t="shared" si="25"/>
        <v>0</v>
      </c>
    </row>
    <row r="118" spans="2:16">
      <c r="B118" s="160" t="str">
        <f t="shared" si="29"/>
        <v/>
      </c>
      <c r="C118" s="470">
        <f>IF(D93="","-",+C117+1)</f>
        <v>2034</v>
      </c>
      <c r="D118" s="345">
        <f>IF(F117+SUM(E$99:E117)=D$92,F117,D$92-SUM(E$99:E117))</f>
        <v>959877</v>
      </c>
      <c r="E118" s="482">
        <f t="shared" si="32"/>
        <v>41269</v>
      </c>
      <c r="F118" s="483">
        <f t="shared" si="33"/>
        <v>918608</v>
      </c>
      <c r="G118" s="483">
        <f t="shared" si="34"/>
        <v>939242.5</v>
      </c>
      <c r="H118" s="486">
        <f t="shared" si="35"/>
        <v>148148.02740885463</v>
      </c>
      <c r="I118" s="540">
        <f t="shared" si="36"/>
        <v>148148.02740885463</v>
      </c>
      <c r="J118" s="476">
        <f t="shared" si="30"/>
        <v>0</v>
      </c>
      <c r="K118" s="476"/>
      <c r="L118" s="485"/>
      <c r="M118" s="476">
        <f t="shared" si="23"/>
        <v>0</v>
      </c>
      <c r="N118" s="485"/>
      <c r="O118" s="476">
        <f t="shared" si="24"/>
        <v>0</v>
      </c>
      <c r="P118" s="476">
        <f t="shared" si="25"/>
        <v>0</v>
      </c>
    </row>
    <row r="119" spans="2:16">
      <c r="B119" s="160" t="str">
        <f t="shared" si="29"/>
        <v/>
      </c>
      <c r="C119" s="470">
        <f>IF(D93="","-",+C118+1)</f>
        <v>2035</v>
      </c>
      <c r="D119" s="345">
        <f>IF(F118+SUM(E$99:E118)=D$92,F118,D$92-SUM(E$99:E118))</f>
        <v>918608</v>
      </c>
      <c r="E119" s="482">
        <f t="shared" si="32"/>
        <v>41269</v>
      </c>
      <c r="F119" s="483">
        <f t="shared" si="33"/>
        <v>877339</v>
      </c>
      <c r="G119" s="483">
        <f t="shared" si="34"/>
        <v>897973.5</v>
      </c>
      <c r="H119" s="486">
        <f t="shared" si="35"/>
        <v>143451.91263323918</v>
      </c>
      <c r="I119" s="540">
        <f t="shared" si="36"/>
        <v>143451.91263323918</v>
      </c>
      <c r="J119" s="476">
        <f t="shared" si="30"/>
        <v>0</v>
      </c>
      <c r="K119" s="476"/>
      <c r="L119" s="485"/>
      <c r="M119" s="476">
        <f t="shared" si="23"/>
        <v>0</v>
      </c>
      <c r="N119" s="485"/>
      <c r="O119" s="476">
        <f t="shared" si="24"/>
        <v>0</v>
      </c>
      <c r="P119" s="476">
        <f t="shared" si="25"/>
        <v>0</v>
      </c>
    </row>
    <row r="120" spans="2:16">
      <c r="B120" s="160" t="str">
        <f t="shared" si="29"/>
        <v/>
      </c>
      <c r="C120" s="470">
        <f>IF(D93="","-",+C119+1)</f>
        <v>2036</v>
      </c>
      <c r="D120" s="345">
        <f>IF(F119+SUM(E$99:E119)=D$92,F119,D$92-SUM(E$99:E119))</f>
        <v>877339</v>
      </c>
      <c r="E120" s="482">
        <f t="shared" si="32"/>
        <v>41269</v>
      </c>
      <c r="F120" s="483">
        <f t="shared" si="33"/>
        <v>836070</v>
      </c>
      <c r="G120" s="483">
        <f t="shared" si="34"/>
        <v>856704.5</v>
      </c>
      <c r="H120" s="486">
        <f t="shared" si="35"/>
        <v>138755.79785762366</v>
      </c>
      <c r="I120" s="540">
        <f t="shared" si="36"/>
        <v>138755.79785762366</v>
      </c>
      <c r="J120" s="476">
        <f t="shared" si="30"/>
        <v>0</v>
      </c>
      <c r="K120" s="476"/>
      <c r="L120" s="485"/>
      <c r="M120" s="476">
        <f t="shared" si="23"/>
        <v>0</v>
      </c>
      <c r="N120" s="485"/>
      <c r="O120" s="476">
        <f t="shared" si="24"/>
        <v>0</v>
      </c>
      <c r="P120" s="476">
        <f t="shared" si="25"/>
        <v>0</v>
      </c>
    </row>
    <row r="121" spans="2:16">
      <c r="B121" s="160" t="str">
        <f t="shared" si="29"/>
        <v/>
      </c>
      <c r="C121" s="470">
        <f>IF(D93="","-",+C120+1)</f>
        <v>2037</v>
      </c>
      <c r="D121" s="345">
        <f>IF(F120+SUM(E$99:E120)=D$92,F120,D$92-SUM(E$99:E120))</f>
        <v>836070</v>
      </c>
      <c r="E121" s="482">
        <f t="shared" si="32"/>
        <v>41269</v>
      </c>
      <c r="F121" s="483">
        <f t="shared" si="33"/>
        <v>794801</v>
      </c>
      <c r="G121" s="483">
        <f t="shared" si="34"/>
        <v>815435.5</v>
      </c>
      <c r="H121" s="486">
        <f t="shared" si="35"/>
        <v>134059.68308200821</v>
      </c>
      <c r="I121" s="540">
        <f t="shared" si="36"/>
        <v>134059.68308200821</v>
      </c>
      <c r="J121" s="476">
        <f t="shared" si="30"/>
        <v>0</v>
      </c>
      <c r="K121" s="476"/>
      <c r="L121" s="485"/>
      <c r="M121" s="476">
        <f t="shared" si="23"/>
        <v>0</v>
      </c>
      <c r="N121" s="485"/>
      <c r="O121" s="476">
        <f t="shared" si="24"/>
        <v>0</v>
      </c>
      <c r="P121" s="476">
        <f t="shared" si="25"/>
        <v>0</v>
      </c>
    </row>
    <row r="122" spans="2:16">
      <c r="B122" s="160" t="str">
        <f t="shared" si="29"/>
        <v/>
      </c>
      <c r="C122" s="470">
        <f>IF(D93="","-",+C121+1)</f>
        <v>2038</v>
      </c>
      <c r="D122" s="345">
        <f>IF(F121+SUM(E$99:E121)=D$92,F121,D$92-SUM(E$99:E121))</f>
        <v>794801</v>
      </c>
      <c r="E122" s="482">
        <f t="shared" si="32"/>
        <v>41269</v>
      </c>
      <c r="F122" s="483">
        <f t="shared" si="33"/>
        <v>753532</v>
      </c>
      <c r="G122" s="483">
        <f t="shared" si="34"/>
        <v>774166.5</v>
      </c>
      <c r="H122" s="486">
        <f t="shared" si="35"/>
        <v>129363.56830639273</v>
      </c>
      <c r="I122" s="540">
        <f t="shared" si="36"/>
        <v>129363.56830639273</v>
      </c>
      <c r="J122" s="476">
        <f t="shared" si="30"/>
        <v>0</v>
      </c>
      <c r="K122" s="476"/>
      <c r="L122" s="485"/>
      <c r="M122" s="476">
        <f t="shared" si="23"/>
        <v>0</v>
      </c>
      <c r="N122" s="485"/>
      <c r="O122" s="476">
        <f t="shared" si="24"/>
        <v>0</v>
      </c>
      <c r="P122" s="476">
        <f t="shared" si="25"/>
        <v>0</v>
      </c>
    </row>
    <row r="123" spans="2:16">
      <c r="B123" s="160" t="str">
        <f t="shared" si="29"/>
        <v/>
      </c>
      <c r="C123" s="470">
        <f>IF(D93="","-",+C122+1)</f>
        <v>2039</v>
      </c>
      <c r="D123" s="345">
        <f>IF(F122+SUM(E$99:E122)=D$92,F122,D$92-SUM(E$99:E122))</f>
        <v>753532</v>
      </c>
      <c r="E123" s="482">
        <f t="shared" si="32"/>
        <v>41269</v>
      </c>
      <c r="F123" s="483">
        <f t="shared" si="33"/>
        <v>712263</v>
      </c>
      <c r="G123" s="483">
        <f t="shared" si="34"/>
        <v>732897.5</v>
      </c>
      <c r="H123" s="486">
        <f t="shared" si="35"/>
        <v>124667.45353077725</v>
      </c>
      <c r="I123" s="540">
        <f t="shared" si="36"/>
        <v>124667.45353077725</v>
      </c>
      <c r="J123" s="476">
        <f t="shared" si="30"/>
        <v>0</v>
      </c>
      <c r="K123" s="476"/>
      <c r="L123" s="485"/>
      <c r="M123" s="476">
        <f t="shared" si="23"/>
        <v>0</v>
      </c>
      <c r="N123" s="485"/>
      <c r="O123" s="476">
        <f t="shared" si="24"/>
        <v>0</v>
      </c>
      <c r="P123" s="476">
        <f t="shared" si="25"/>
        <v>0</v>
      </c>
    </row>
    <row r="124" spans="2:16">
      <c r="B124" s="160" t="str">
        <f t="shared" si="29"/>
        <v/>
      </c>
      <c r="C124" s="470">
        <f>IF(D93="","-",+C123+1)</f>
        <v>2040</v>
      </c>
      <c r="D124" s="345">
        <f>IF(F123+SUM(E$99:E123)=D$92,F123,D$92-SUM(E$99:E123))</f>
        <v>712263</v>
      </c>
      <c r="E124" s="482">
        <f t="shared" si="32"/>
        <v>41269</v>
      </c>
      <c r="F124" s="483">
        <f t="shared" si="33"/>
        <v>670994</v>
      </c>
      <c r="G124" s="483">
        <f t="shared" si="34"/>
        <v>691628.5</v>
      </c>
      <c r="H124" s="486">
        <f t="shared" si="35"/>
        <v>119971.33875516176</v>
      </c>
      <c r="I124" s="540">
        <f t="shared" si="36"/>
        <v>119971.33875516176</v>
      </c>
      <c r="J124" s="476">
        <f t="shared" si="30"/>
        <v>0</v>
      </c>
      <c r="K124" s="476"/>
      <c r="L124" s="485"/>
      <c r="M124" s="476">
        <f t="shared" si="23"/>
        <v>0</v>
      </c>
      <c r="N124" s="485"/>
      <c r="O124" s="476">
        <f t="shared" si="24"/>
        <v>0</v>
      </c>
      <c r="P124" s="476">
        <f t="shared" si="25"/>
        <v>0</v>
      </c>
    </row>
    <row r="125" spans="2:16">
      <c r="B125" s="160" t="str">
        <f t="shared" si="29"/>
        <v/>
      </c>
      <c r="C125" s="470">
        <f>IF(D93="","-",+C124+1)</f>
        <v>2041</v>
      </c>
      <c r="D125" s="345">
        <f>IF(F124+SUM(E$99:E124)=D$92,F124,D$92-SUM(E$99:E124))</f>
        <v>670994</v>
      </c>
      <c r="E125" s="482">
        <f t="shared" si="32"/>
        <v>41269</v>
      </c>
      <c r="F125" s="483">
        <f t="shared" si="33"/>
        <v>629725</v>
      </c>
      <c r="G125" s="483">
        <f t="shared" si="34"/>
        <v>650359.5</v>
      </c>
      <c r="H125" s="486">
        <f t="shared" si="35"/>
        <v>115275.22397954628</v>
      </c>
      <c r="I125" s="540">
        <f t="shared" si="36"/>
        <v>115275.22397954628</v>
      </c>
      <c r="J125" s="476">
        <f t="shared" si="30"/>
        <v>0</v>
      </c>
      <c r="K125" s="476"/>
      <c r="L125" s="485"/>
      <c r="M125" s="476">
        <f t="shared" si="23"/>
        <v>0</v>
      </c>
      <c r="N125" s="485"/>
      <c r="O125" s="476">
        <f t="shared" si="24"/>
        <v>0</v>
      </c>
      <c r="P125" s="476">
        <f t="shared" si="25"/>
        <v>0</v>
      </c>
    </row>
    <row r="126" spans="2:16">
      <c r="B126" s="160" t="str">
        <f t="shared" si="29"/>
        <v/>
      </c>
      <c r="C126" s="470">
        <f>IF(D93="","-",+C125+1)</f>
        <v>2042</v>
      </c>
      <c r="D126" s="345">
        <f>IF(F125+SUM(E$99:E125)=D$92,F125,D$92-SUM(E$99:E125))</f>
        <v>629725</v>
      </c>
      <c r="E126" s="482">
        <f t="shared" si="32"/>
        <v>41269</v>
      </c>
      <c r="F126" s="483">
        <f t="shared" si="33"/>
        <v>588456</v>
      </c>
      <c r="G126" s="483">
        <f t="shared" si="34"/>
        <v>609090.5</v>
      </c>
      <c r="H126" s="486">
        <f t="shared" si="35"/>
        <v>110579.1092039308</v>
      </c>
      <c r="I126" s="540">
        <f t="shared" si="36"/>
        <v>110579.1092039308</v>
      </c>
      <c r="J126" s="476">
        <f t="shared" si="30"/>
        <v>0</v>
      </c>
      <c r="K126" s="476"/>
      <c r="L126" s="485"/>
      <c r="M126" s="476">
        <f t="shared" si="23"/>
        <v>0</v>
      </c>
      <c r="N126" s="485"/>
      <c r="O126" s="476">
        <f t="shared" si="24"/>
        <v>0</v>
      </c>
      <c r="P126" s="476">
        <f t="shared" si="25"/>
        <v>0</v>
      </c>
    </row>
    <row r="127" spans="2:16">
      <c r="B127" s="160" t="str">
        <f t="shared" si="29"/>
        <v/>
      </c>
      <c r="C127" s="470">
        <f>IF(D93="","-",+C126+1)</f>
        <v>2043</v>
      </c>
      <c r="D127" s="345">
        <f>IF(F126+SUM(E$99:E126)=D$92,F126,D$92-SUM(E$99:E126))</f>
        <v>588456</v>
      </c>
      <c r="E127" s="482">
        <f t="shared" si="32"/>
        <v>41269</v>
      </c>
      <c r="F127" s="483">
        <f t="shared" si="33"/>
        <v>547187</v>
      </c>
      <c r="G127" s="483">
        <f t="shared" si="34"/>
        <v>567821.5</v>
      </c>
      <c r="H127" s="486">
        <f t="shared" si="35"/>
        <v>105882.99442831532</v>
      </c>
      <c r="I127" s="540">
        <f t="shared" si="36"/>
        <v>105882.99442831532</v>
      </c>
      <c r="J127" s="476">
        <f t="shared" si="30"/>
        <v>0</v>
      </c>
      <c r="K127" s="476"/>
      <c r="L127" s="485"/>
      <c r="M127" s="476">
        <f t="shared" si="23"/>
        <v>0</v>
      </c>
      <c r="N127" s="485"/>
      <c r="O127" s="476">
        <f t="shared" si="24"/>
        <v>0</v>
      </c>
      <c r="P127" s="476">
        <f t="shared" si="25"/>
        <v>0</v>
      </c>
    </row>
    <row r="128" spans="2:16">
      <c r="B128" s="160" t="str">
        <f t="shared" si="29"/>
        <v/>
      </c>
      <c r="C128" s="470">
        <f>IF(D93="","-",+C127+1)</f>
        <v>2044</v>
      </c>
      <c r="D128" s="345">
        <f>IF(F127+SUM(E$99:E127)=D$92,F127,D$92-SUM(E$99:E127))</f>
        <v>547187</v>
      </c>
      <c r="E128" s="482">
        <f t="shared" si="32"/>
        <v>41269</v>
      </c>
      <c r="F128" s="483">
        <f t="shared" si="33"/>
        <v>505918</v>
      </c>
      <c r="G128" s="483">
        <f t="shared" si="34"/>
        <v>526552.5</v>
      </c>
      <c r="H128" s="486">
        <f t="shared" si="35"/>
        <v>101186.87965269985</v>
      </c>
      <c r="I128" s="540">
        <f t="shared" si="36"/>
        <v>101186.87965269985</v>
      </c>
      <c r="J128" s="476">
        <f t="shared" si="30"/>
        <v>0</v>
      </c>
      <c r="K128" s="476"/>
      <c r="L128" s="485"/>
      <c r="M128" s="476">
        <f t="shared" si="23"/>
        <v>0</v>
      </c>
      <c r="N128" s="485"/>
      <c r="O128" s="476">
        <f t="shared" si="24"/>
        <v>0</v>
      </c>
      <c r="P128" s="476">
        <f t="shared" si="25"/>
        <v>0</v>
      </c>
    </row>
    <row r="129" spans="2:16">
      <c r="B129" s="160" t="str">
        <f t="shared" si="29"/>
        <v/>
      </c>
      <c r="C129" s="470">
        <f>IF(D93="","-",+C128+1)</f>
        <v>2045</v>
      </c>
      <c r="D129" s="345">
        <f>IF(F128+SUM(E$99:E128)=D$92,F128,D$92-SUM(E$99:E128))</f>
        <v>505918</v>
      </c>
      <c r="E129" s="482">
        <f t="shared" si="32"/>
        <v>41269</v>
      </c>
      <c r="F129" s="483">
        <f t="shared" si="33"/>
        <v>464649</v>
      </c>
      <c r="G129" s="483">
        <f t="shared" si="34"/>
        <v>485283.5</v>
      </c>
      <c r="H129" s="486">
        <f t="shared" si="35"/>
        <v>96490.764877084366</v>
      </c>
      <c r="I129" s="540">
        <f t="shared" si="36"/>
        <v>96490.764877084366</v>
      </c>
      <c r="J129" s="476">
        <f t="shared" si="30"/>
        <v>0</v>
      </c>
      <c r="K129" s="476"/>
      <c r="L129" s="485"/>
      <c r="M129" s="476">
        <f t="shared" si="23"/>
        <v>0</v>
      </c>
      <c r="N129" s="485"/>
      <c r="O129" s="476">
        <f t="shared" si="24"/>
        <v>0</v>
      </c>
      <c r="P129" s="476">
        <f t="shared" si="25"/>
        <v>0</v>
      </c>
    </row>
    <row r="130" spans="2:16">
      <c r="B130" s="160" t="str">
        <f t="shared" si="29"/>
        <v/>
      </c>
      <c r="C130" s="470">
        <f>IF(D93="","-",+C129+1)</f>
        <v>2046</v>
      </c>
      <c r="D130" s="345">
        <f>IF(F129+SUM(E$99:E129)=D$92,F129,D$92-SUM(E$99:E129))</f>
        <v>464649</v>
      </c>
      <c r="E130" s="482">
        <f t="shared" si="32"/>
        <v>41269</v>
      </c>
      <c r="F130" s="483">
        <f t="shared" si="33"/>
        <v>423380</v>
      </c>
      <c r="G130" s="483">
        <f t="shared" si="34"/>
        <v>444014.5</v>
      </c>
      <c r="H130" s="486">
        <f t="shared" si="35"/>
        <v>91794.650101468884</v>
      </c>
      <c r="I130" s="540">
        <f t="shared" si="36"/>
        <v>91794.650101468884</v>
      </c>
      <c r="J130" s="476">
        <f t="shared" si="30"/>
        <v>0</v>
      </c>
      <c r="K130" s="476"/>
      <c r="L130" s="485"/>
      <c r="M130" s="476">
        <f t="shared" si="23"/>
        <v>0</v>
      </c>
      <c r="N130" s="485"/>
      <c r="O130" s="476">
        <f t="shared" si="24"/>
        <v>0</v>
      </c>
      <c r="P130" s="476">
        <f t="shared" si="25"/>
        <v>0</v>
      </c>
    </row>
    <row r="131" spans="2:16">
      <c r="B131" s="160" t="str">
        <f t="shared" si="29"/>
        <v/>
      </c>
      <c r="C131" s="470">
        <f>IF(D93="","-",+C130+1)</f>
        <v>2047</v>
      </c>
      <c r="D131" s="345">
        <f>IF(F130+SUM(E$99:E130)=D$92,F130,D$92-SUM(E$99:E130))</f>
        <v>423380</v>
      </c>
      <c r="E131" s="482">
        <f t="shared" si="32"/>
        <v>41269</v>
      </c>
      <c r="F131" s="483">
        <f t="shared" si="33"/>
        <v>382111</v>
      </c>
      <c r="G131" s="483">
        <f t="shared" si="34"/>
        <v>402745.5</v>
      </c>
      <c r="H131" s="486">
        <f t="shared" si="35"/>
        <v>87098.535325853416</v>
      </c>
      <c r="I131" s="540">
        <f t="shared" si="36"/>
        <v>87098.535325853416</v>
      </c>
      <c r="J131" s="476">
        <f t="shared" si="30"/>
        <v>0</v>
      </c>
      <c r="K131" s="476"/>
      <c r="L131" s="485"/>
      <c r="M131" s="476">
        <f t="shared" ref="M131:M154" si="37">IF(L541&lt;&gt;0,+H541-L541,0)</f>
        <v>0</v>
      </c>
      <c r="N131" s="485"/>
      <c r="O131" s="476">
        <f t="shared" ref="O131:O154" si="38">IF(N541&lt;&gt;0,+I541-N541,0)</f>
        <v>0</v>
      </c>
      <c r="P131" s="476">
        <f t="shared" ref="P131:P154" si="39">+O541-M541</f>
        <v>0</v>
      </c>
    </row>
    <row r="132" spans="2:16">
      <c r="B132" s="160" t="str">
        <f t="shared" si="29"/>
        <v/>
      </c>
      <c r="C132" s="470">
        <f>IF(D93="","-",+C131+1)</f>
        <v>2048</v>
      </c>
      <c r="D132" s="345">
        <f>IF(F131+SUM(E$99:E131)=D$92,F131,D$92-SUM(E$99:E131))</f>
        <v>382111</v>
      </c>
      <c r="E132" s="482">
        <f t="shared" si="32"/>
        <v>41269</v>
      </c>
      <c r="F132" s="483">
        <f t="shared" si="33"/>
        <v>340842</v>
      </c>
      <c r="G132" s="483">
        <f t="shared" si="34"/>
        <v>361476.5</v>
      </c>
      <c r="H132" s="486">
        <f t="shared" si="35"/>
        <v>82402.420550237934</v>
      </c>
      <c r="I132" s="540">
        <f t="shared" si="36"/>
        <v>82402.420550237934</v>
      </c>
      <c r="J132" s="476">
        <f t="shared" si="30"/>
        <v>0</v>
      </c>
      <c r="K132" s="476"/>
      <c r="L132" s="485"/>
      <c r="M132" s="476">
        <f t="shared" si="37"/>
        <v>0</v>
      </c>
      <c r="N132" s="485"/>
      <c r="O132" s="476">
        <f t="shared" si="38"/>
        <v>0</v>
      </c>
      <c r="P132" s="476">
        <f t="shared" si="39"/>
        <v>0</v>
      </c>
    </row>
    <row r="133" spans="2:16">
      <c r="B133" s="160" t="str">
        <f t="shared" si="29"/>
        <v/>
      </c>
      <c r="C133" s="470">
        <f>IF(D93="","-",+C132+1)</f>
        <v>2049</v>
      </c>
      <c r="D133" s="345">
        <f>IF(F132+SUM(E$99:E132)=D$92,F132,D$92-SUM(E$99:E132))</f>
        <v>340842</v>
      </c>
      <c r="E133" s="482">
        <f t="shared" si="32"/>
        <v>41269</v>
      </c>
      <c r="F133" s="483">
        <f t="shared" si="33"/>
        <v>299573</v>
      </c>
      <c r="G133" s="483">
        <f t="shared" si="34"/>
        <v>320207.5</v>
      </c>
      <c r="H133" s="486">
        <f t="shared" si="35"/>
        <v>77706.305774622451</v>
      </c>
      <c r="I133" s="540">
        <f t="shared" si="36"/>
        <v>77706.305774622451</v>
      </c>
      <c r="J133" s="476">
        <f t="shared" si="30"/>
        <v>0</v>
      </c>
      <c r="K133" s="476"/>
      <c r="L133" s="485"/>
      <c r="M133" s="476">
        <f t="shared" si="37"/>
        <v>0</v>
      </c>
      <c r="N133" s="485"/>
      <c r="O133" s="476">
        <f t="shared" si="38"/>
        <v>0</v>
      </c>
      <c r="P133" s="476">
        <f t="shared" si="39"/>
        <v>0</v>
      </c>
    </row>
    <row r="134" spans="2:16">
      <c r="B134" s="160" t="str">
        <f t="shared" si="29"/>
        <v/>
      </c>
      <c r="C134" s="470">
        <f>IF(D93="","-",+C133+1)</f>
        <v>2050</v>
      </c>
      <c r="D134" s="345">
        <f>IF(F133+SUM(E$99:E133)=D$92,F133,D$92-SUM(E$99:E133))</f>
        <v>299573</v>
      </c>
      <c r="E134" s="482">
        <f t="shared" si="32"/>
        <v>41269</v>
      </c>
      <c r="F134" s="483">
        <f t="shared" si="33"/>
        <v>258304</v>
      </c>
      <c r="G134" s="483">
        <f t="shared" si="34"/>
        <v>278938.5</v>
      </c>
      <c r="H134" s="486">
        <f t="shared" si="35"/>
        <v>73010.190999006969</v>
      </c>
      <c r="I134" s="540">
        <f t="shared" si="36"/>
        <v>73010.190999006969</v>
      </c>
      <c r="J134" s="476">
        <f t="shared" si="30"/>
        <v>0</v>
      </c>
      <c r="K134" s="476"/>
      <c r="L134" s="485"/>
      <c r="M134" s="476">
        <f t="shared" si="37"/>
        <v>0</v>
      </c>
      <c r="N134" s="485"/>
      <c r="O134" s="476">
        <f t="shared" si="38"/>
        <v>0</v>
      </c>
      <c r="P134" s="476">
        <f t="shared" si="39"/>
        <v>0</v>
      </c>
    </row>
    <row r="135" spans="2:16">
      <c r="B135" s="160" t="str">
        <f t="shared" si="29"/>
        <v/>
      </c>
      <c r="C135" s="470">
        <f>IF(D93="","-",+C134+1)</f>
        <v>2051</v>
      </c>
      <c r="D135" s="345">
        <f>IF(F134+SUM(E$99:E134)=D$92,F134,D$92-SUM(E$99:E134))</f>
        <v>258304</v>
      </c>
      <c r="E135" s="482">
        <f t="shared" si="32"/>
        <v>41269</v>
      </c>
      <c r="F135" s="483">
        <f t="shared" si="33"/>
        <v>217035</v>
      </c>
      <c r="G135" s="483">
        <f t="shared" si="34"/>
        <v>237669.5</v>
      </c>
      <c r="H135" s="486">
        <f t="shared" si="35"/>
        <v>68314.076223391487</v>
      </c>
      <c r="I135" s="540">
        <f t="shared" si="36"/>
        <v>68314.076223391487</v>
      </c>
      <c r="J135" s="476">
        <f t="shared" si="30"/>
        <v>0</v>
      </c>
      <c r="K135" s="476"/>
      <c r="L135" s="485"/>
      <c r="M135" s="476">
        <f t="shared" si="37"/>
        <v>0</v>
      </c>
      <c r="N135" s="485"/>
      <c r="O135" s="476">
        <f t="shared" si="38"/>
        <v>0</v>
      </c>
      <c r="P135" s="476">
        <f t="shared" si="39"/>
        <v>0</v>
      </c>
    </row>
    <row r="136" spans="2:16">
      <c r="B136" s="160" t="str">
        <f t="shared" si="29"/>
        <v/>
      </c>
      <c r="C136" s="470">
        <f>IF(D93="","-",+C135+1)</f>
        <v>2052</v>
      </c>
      <c r="D136" s="345">
        <f>IF(F135+SUM(E$99:E135)=D$92,F135,D$92-SUM(E$99:E135))</f>
        <v>217035</v>
      </c>
      <c r="E136" s="482">
        <f t="shared" si="32"/>
        <v>41269</v>
      </c>
      <c r="F136" s="483">
        <f t="shared" si="33"/>
        <v>175766</v>
      </c>
      <c r="G136" s="483">
        <f t="shared" si="34"/>
        <v>196400.5</v>
      </c>
      <c r="H136" s="486">
        <f t="shared" si="35"/>
        <v>63617.961447776004</v>
      </c>
      <c r="I136" s="540">
        <f t="shared" si="36"/>
        <v>63617.961447776004</v>
      </c>
      <c r="J136" s="476">
        <f t="shared" si="30"/>
        <v>0</v>
      </c>
      <c r="K136" s="476"/>
      <c r="L136" s="485"/>
      <c r="M136" s="476">
        <f t="shared" si="37"/>
        <v>0</v>
      </c>
      <c r="N136" s="485"/>
      <c r="O136" s="476">
        <f t="shared" si="38"/>
        <v>0</v>
      </c>
      <c r="P136" s="476">
        <f t="shared" si="39"/>
        <v>0</v>
      </c>
    </row>
    <row r="137" spans="2:16">
      <c r="B137" s="160" t="str">
        <f t="shared" si="29"/>
        <v/>
      </c>
      <c r="C137" s="470">
        <f>IF(D93="","-",+C136+1)</f>
        <v>2053</v>
      </c>
      <c r="D137" s="345">
        <f>IF(F136+SUM(E$99:E136)=D$92,F136,D$92-SUM(E$99:E136))</f>
        <v>175766</v>
      </c>
      <c r="E137" s="482">
        <f t="shared" si="32"/>
        <v>41269</v>
      </c>
      <c r="F137" s="483">
        <f t="shared" si="33"/>
        <v>134497</v>
      </c>
      <c r="G137" s="483">
        <f t="shared" si="34"/>
        <v>155131.5</v>
      </c>
      <c r="H137" s="486">
        <f t="shared" si="35"/>
        <v>58921.846672160529</v>
      </c>
      <c r="I137" s="540">
        <f t="shared" si="36"/>
        <v>58921.846672160529</v>
      </c>
      <c r="J137" s="476">
        <f t="shared" si="30"/>
        <v>0</v>
      </c>
      <c r="K137" s="476"/>
      <c r="L137" s="485"/>
      <c r="M137" s="476">
        <f t="shared" si="37"/>
        <v>0</v>
      </c>
      <c r="N137" s="485"/>
      <c r="O137" s="476">
        <f t="shared" si="38"/>
        <v>0</v>
      </c>
      <c r="P137" s="476">
        <f t="shared" si="39"/>
        <v>0</v>
      </c>
    </row>
    <row r="138" spans="2:16">
      <c r="B138" s="160" t="str">
        <f t="shared" si="29"/>
        <v/>
      </c>
      <c r="C138" s="470">
        <f>IF(D93="","-",+C137+1)</f>
        <v>2054</v>
      </c>
      <c r="D138" s="345">
        <f>IF(F137+SUM(E$99:E137)=D$92,F137,D$92-SUM(E$99:E137))</f>
        <v>134497</v>
      </c>
      <c r="E138" s="482">
        <f t="shared" si="32"/>
        <v>41269</v>
      </c>
      <c r="F138" s="483">
        <f t="shared" si="33"/>
        <v>93228</v>
      </c>
      <c r="G138" s="483">
        <f t="shared" si="34"/>
        <v>113862.5</v>
      </c>
      <c r="H138" s="486">
        <f t="shared" si="35"/>
        <v>54225.731896545047</v>
      </c>
      <c r="I138" s="540">
        <f t="shared" si="36"/>
        <v>54225.731896545047</v>
      </c>
      <c r="J138" s="476">
        <f t="shared" si="30"/>
        <v>0</v>
      </c>
      <c r="K138" s="476"/>
      <c r="L138" s="485"/>
      <c r="M138" s="476">
        <f t="shared" si="37"/>
        <v>0</v>
      </c>
      <c r="N138" s="485"/>
      <c r="O138" s="476">
        <f t="shared" si="38"/>
        <v>0</v>
      </c>
      <c r="P138" s="476">
        <f t="shared" si="39"/>
        <v>0</v>
      </c>
    </row>
    <row r="139" spans="2:16">
      <c r="B139" s="160" t="str">
        <f t="shared" si="29"/>
        <v/>
      </c>
      <c r="C139" s="470">
        <f>IF(D93="","-",+C138+1)</f>
        <v>2055</v>
      </c>
      <c r="D139" s="345">
        <f>IF(F138+SUM(E$99:E138)=D$92,F138,D$92-SUM(E$99:E138))</f>
        <v>93228</v>
      </c>
      <c r="E139" s="482">
        <f t="shared" si="32"/>
        <v>41269</v>
      </c>
      <c r="F139" s="483">
        <f t="shared" si="33"/>
        <v>51959</v>
      </c>
      <c r="G139" s="483">
        <f t="shared" si="34"/>
        <v>72593.5</v>
      </c>
      <c r="H139" s="486">
        <f t="shared" si="35"/>
        <v>49529.617120929572</v>
      </c>
      <c r="I139" s="540">
        <f t="shared" si="36"/>
        <v>49529.617120929572</v>
      </c>
      <c r="J139" s="476">
        <f t="shared" si="30"/>
        <v>0</v>
      </c>
      <c r="K139" s="476"/>
      <c r="L139" s="485"/>
      <c r="M139" s="476">
        <f t="shared" si="37"/>
        <v>0</v>
      </c>
      <c r="N139" s="485"/>
      <c r="O139" s="476">
        <f t="shared" si="38"/>
        <v>0</v>
      </c>
      <c r="P139" s="476">
        <f t="shared" si="39"/>
        <v>0</v>
      </c>
    </row>
    <row r="140" spans="2:16">
      <c r="B140" s="160" t="str">
        <f t="shared" si="29"/>
        <v/>
      </c>
      <c r="C140" s="470">
        <f>IF(D93="","-",+C139+1)</f>
        <v>2056</v>
      </c>
      <c r="D140" s="345">
        <f>IF(F139+SUM(E$99:E139)=D$92,F139,D$92-SUM(E$99:E139))</f>
        <v>51959</v>
      </c>
      <c r="E140" s="482">
        <f t="shared" si="32"/>
        <v>41269</v>
      </c>
      <c r="F140" s="483">
        <f t="shared" si="33"/>
        <v>10690</v>
      </c>
      <c r="G140" s="483">
        <f t="shared" si="34"/>
        <v>31324.5</v>
      </c>
      <c r="H140" s="486">
        <f t="shared" si="35"/>
        <v>44833.502345314089</v>
      </c>
      <c r="I140" s="540">
        <f t="shared" si="36"/>
        <v>44833.502345314089</v>
      </c>
      <c r="J140" s="476">
        <f t="shared" si="30"/>
        <v>0</v>
      </c>
      <c r="K140" s="476"/>
      <c r="L140" s="485"/>
      <c r="M140" s="476">
        <f t="shared" si="37"/>
        <v>0</v>
      </c>
      <c r="N140" s="485"/>
      <c r="O140" s="476">
        <f t="shared" si="38"/>
        <v>0</v>
      </c>
      <c r="P140" s="476">
        <f t="shared" si="39"/>
        <v>0</v>
      </c>
    </row>
    <row r="141" spans="2:16">
      <c r="B141" s="160" t="str">
        <f t="shared" si="29"/>
        <v/>
      </c>
      <c r="C141" s="470">
        <f>IF(D93="","-",+C140+1)</f>
        <v>2057</v>
      </c>
      <c r="D141" s="345">
        <f>IF(F140+SUM(E$99:E140)=D$92,F140,D$92-SUM(E$99:E140))</f>
        <v>10690</v>
      </c>
      <c r="E141" s="482">
        <f t="shared" si="32"/>
        <v>10690</v>
      </c>
      <c r="F141" s="483">
        <f t="shared" si="33"/>
        <v>0</v>
      </c>
      <c r="G141" s="483">
        <f t="shared" si="34"/>
        <v>5345</v>
      </c>
      <c r="H141" s="486">
        <f t="shared" si="35"/>
        <v>11298.222478753174</v>
      </c>
      <c r="I141" s="540">
        <f t="shared" si="36"/>
        <v>11298.222478753174</v>
      </c>
      <c r="J141" s="476">
        <f t="shared" si="30"/>
        <v>0</v>
      </c>
      <c r="K141" s="476"/>
      <c r="L141" s="485"/>
      <c r="M141" s="476">
        <f t="shared" si="37"/>
        <v>0</v>
      </c>
      <c r="N141" s="485"/>
      <c r="O141" s="476">
        <f t="shared" si="38"/>
        <v>0</v>
      </c>
      <c r="P141" s="476">
        <f t="shared" si="39"/>
        <v>0</v>
      </c>
    </row>
    <row r="142" spans="2:16">
      <c r="B142" s="160" t="str">
        <f t="shared" si="29"/>
        <v/>
      </c>
      <c r="C142" s="470">
        <f>IF(D93="","-",+C141+1)</f>
        <v>2058</v>
      </c>
      <c r="D142" s="345">
        <f>IF(F141+SUM(E$99:E141)=D$92,F141,D$92-SUM(E$99:E141))</f>
        <v>0</v>
      </c>
      <c r="E142" s="482">
        <f t="shared" si="32"/>
        <v>0</v>
      </c>
      <c r="F142" s="483">
        <f t="shared" si="33"/>
        <v>0</v>
      </c>
      <c r="G142" s="483">
        <f t="shared" si="34"/>
        <v>0</v>
      </c>
      <c r="H142" s="486">
        <f t="shared" si="35"/>
        <v>0</v>
      </c>
      <c r="I142" s="540">
        <f t="shared" si="36"/>
        <v>0</v>
      </c>
      <c r="J142" s="476">
        <f t="shared" si="30"/>
        <v>0</v>
      </c>
      <c r="K142" s="476"/>
      <c r="L142" s="485"/>
      <c r="M142" s="476">
        <f t="shared" si="37"/>
        <v>0</v>
      </c>
      <c r="N142" s="485"/>
      <c r="O142" s="476">
        <f t="shared" si="38"/>
        <v>0</v>
      </c>
      <c r="P142" s="476">
        <f t="shared" si="39"/>
        <v>0</v>
      </c>
    </row>
    <row r="143" spans="2:16">
      <c r="B143" s="160" t="str">
        <f t="shared" si="29"/>
        <v/>
      </c>
      <c r="C143" s="470">
        <f>IF(D93="","-",+C142+1)</f>
        <v>2059</v>
      </c>
      <c r="D143" s="345">
        <f>IF(F142+SUM(E$99:E142)=D$92,F142,D$92-SUM(E$99:E142))</f>
        <v>0</v>
      </c>
      <c r="E143" s="482">
        <f t="shared" si="32"/>
        <v>0</v>
      </c>
      <c r="F143" s="483">
        <f t="shared" si="33"/>
        <v>0</v>
      </c>
      <c r="G143" s="483">
        <f t="shared" si="34"/>
        <v>0</v>
      </c>
      <c r="H143" s="486">
        <f t="shared" si="35"/>
        <v>0</v>
      </c>
      <c r="I143" s="540">
        <f t="shared" si="36"/>
        <v>0</v>
      </c>
      <c r="J143" s="476">
        <f t="shared" si="30"/>
        <v>0</v>
      </c>
      <c r="K143" s="476"/>
      <c r="L143" s="485"/>
      <c r="M143" s="476">
        <f t="shared" si="37"/>
        <v>0</v>
      </c>
      <c r="N143" s="485"/>
      <c r="O143" s="476">
        <f t="shared" si="38"/>
        <v>0</v>
      </c>
      <c r="P143" s="476">
        <f t="shared" si="39"/>
        <v>0</v>
      </c>
    </row>
    <row r="144" spans="2:16">
      <c r="B144" s="160" t="str">
        <f t="shared" si="29"/>
        <v/>
      </c>
      <c r="C144" s="470">
        <f>IF(D93="","-",+C143+1)</f>
        <v>2060</v>
      </c>
      <c r="D144" s="345">
        <f>IF(F143+SUM(E$99:E143)=D$92,F143,D$92-SUM(E$99:E143))</f>
        <v>0</v>
      </c>
      <c r="E144" s="482">
        <f t="shared" si="32"/>
        <v>0</v>
      </c>
      <c r="F144" s="483">
        <f t="shared" si="33"/>
        <v>0</v>
      </c>
      <c r="G144" s="483">
        <f t="shared" si="34"/>
        <v>0</v>
      </c>
      <c r="H144" s="486">
        <f t="shared" si="35"/>
        <v>0</v>
      </c>
      <c r="I144" s="540">
        <f t="shared" si="36"/>
        <v>0</v>
      </c>
      <c r="J144" s="476">
        <f t="shared" si="30"/>
        <v>0</v>
      </c>
      <c r="K144" s="476"/>
      <c r="L144" s="485"/>
      <c r="M144" s="476">
        <f t="shared" si="37"/>
        <v>0</v>
      </c>
      <c r="N144" s="485"/>
      <c r="O144" s="476">
        <f t="shared" si="38"/>
        <v>0</v>
      </c>
      <c r="P144" s="476">
        <f t="shared" si="39"/>
        <v>0</v>
      </c>
    </row>
    <row r="145" spans="2:16">
      <c r="B145" s="160" t="str">
        <f t="shared" si="29"/>
        <v/>
      </c>
      <c r="C145" s="470">
        <f>IF(D93="","-",+C144+1)</f>
        <v>2061</v>
      </c>
      <c r="D145" s="345">
        <f>IF(F144+SUM(E$99:E144)=D$92,F144,D$92-SUM(E$99:E144))</f>
        <v>0</v>
      </c>
      <c r="E145" s="482">
        <f t="shared" si="32"/>
        <v>0</v>
      </c>
      <c r="F145" s="483">
        <f t="shared" si="33"/>
        <v>0</v>
      </c>
      <c r="G145" s="483">
        <f t="shared" si="34"/>
        <v>0</v>
      </c>
      <c r="H145" s="486">
        <f t="shared" si="35"/>
        <v>0</v>
      </c>
      <c r="I145" s="540">
        <f t="shared" si="36"/>
        <v>0</v>
      </c>
      <c r="J145" s="476">
        <f t="shared" si="30"/>
        <v>0</v>
      </c>
      <c r="K145" s="476"/>
      <c r="L145" s="485"/>
      <c r="M145" s="476">
        <f t="shared" si="37"/>
        <v>0</v>
      </c>
      <c r="N145" s="485"/>
      <c r="O145" s="476">
        <f t="shared" si="38"/>
        <v>0</v>
      </c>
      <c r="P145" s="476">
        <f t="shared" si="39"/>
        <v>0</v>
      </c>
    </row>
    <row r="146" spans="2:16">
      <c r="B146" s="160" t="str">
        <f t="shared" si="29"/>
        <v/>
      </c>
      <c r="C146" s="470">
        <f>IF(D93="","-",+C145+1)</f>
        <v>2062</v>
      </c>
      <c r="D146" s="345">
        <f>IF(F145+SUM(E$99:E145)=D$92,F145,D$92-SUM(E$99:E145))</f>
        <v>0</v>
      </c>
      <c r="E146" s="482">
        <f t="shared" si="32"/>
        <v>0</v>
      </c>
      <c r="F146" s="483">
        <f t="shared" si="33"/>
        <v>0</v>
      </c>
      <c r="G146" s="483">
        <f t="shared" si="34"/>
        <v>0</v>
      </c>
      <c r="H146" s="486">
        <f t="shared" si="35"/>
        <v>0</v>
      </c>
      <c r="I146" s="540">
        <f t="shared" si="36"/>
        <v>0</v>
      </c>
      <c r="J146" s="476">
        <f t="shared" si="30"/>
        <v>0</v>
      </c>
      <c r="K146" s="476"/>
      <c r="L146" s="485"/>
      <c r="M146" s="476">
        <f t="shared" si="37"/>
        <v>0</v>
      </c>
      <c r="N146" s="485"/>
      <c r="O146" s="476">
        <f t="shared" si="38"/>
        <v>0</v>
      </c>
      <c r="P146" s="476">
        <f t="shared" si="39"/>
        <v>0</v>
      </c>
    </row>
    <row r="147" spans="2:16">
      <c r="B147" s="160" t="str">
        <f t="shared" si="29"/>
        <v/>
      </c>
      <c r="C147" s="470">
        <f>IF(D93="","-",+C146+1)</f>
        <v>2063</v>
      </c>
      <c r="D147" s="345">
        <f>IF(F146+SUM(E$99:E146)=D$92,F146,D$92-SUM(E$99:E146))</f>
        <v>0</v>
      </c>
      <c r="E147" s="482">
        <f t="shared" si="32"/>
        <v>0</v>
      </c>
      <c r="F147" s="483">
        <f t="shared" si="33"/>
        <v>0</v>
      </c>
      <c r="G147" s="483">
        <f t="shared" si="34"/>
        <v>0</v>
      </c>
      <c r="H147" s="486">
        <f t="shared" si="35"/>
        <v>0</v>
      </c>
      <c r="I147" s="540">
        <f t="shared" si="36"/>
        <v>0</v>
      </c>
      <c r="J147" s="476">
        <f t="shared" si="30"/>
        <v>0</v>
      </c>
      <c r="K147" s="476"/>
      <c r="L147" s="485"/>
      <c r="M147" s="476">
        <f t="shared" si="37"/>
        <v>0</v>
      </c>
      <c r="N147" s="485"/>
      <c r="O147" s="476">
        <f t="shared" si="38"/>
        <v>0</v>
      </c>
      <c r="P147" s="476">
        <f t="shared" si="39"/>
        <v>0</v>
      </c>
    </row>
    <row r="148" spans="2:16">
      <c r="B148" s="160" t="str">
        <f t="shared" si="29"/>
        <v/>
      </c>
      <c r="C148" s="470">
        <f>IF(D93="","-",+C147+1)</f>
        <v>2064</v>
      </c>
      <c r="D148" s="345">
        <f>IF(F147+SUM(E$99:E147)=D$92,F147,D$92-SUM(E$99:E147))</f>
        <v>0</v>
      </c>
      <c r="E148" s="482">
        <f t="shared" si="32"/>
        <v>0</v>
      </c>
      <c r="F148" s="483">
        <f t="shared" si="33"/>
        <v>0</v>
      </c>
      <c r="G148" s="483">
        <f t="shared" si="34"/>
        <v>0</v>
      </c>
      <c r="H148" s="486">
        <f t="shared" si="35"/>
        <v>0</v>
      </c>
      <c r="I148" s="540">
        <f t="shared" si="36"/>
        <v>0</v>
      </c>
      <c r="J148" s="476">
        <f t="shared" si="30"/>
        <v>0</v>
      </c>
      <c r="K148" s="476"/>
      <c r="L148" s="485"/>
      <c r="M148" s="476">
        <f t="shared" si="37"/>
        <v>0</v>
      </c>
      <c r="N148" s="485"/>
      <c r="O148" s="476">
        <f t="shared" si="38"/>
        <v>0</v>
      </c>
      <c r="P148" s="476">
        <f t="shared" si="39"/>
        <v>0</v>
      </c>
    </row>
    <row r="149" spans="2:16">
      <c r="B149" s="160" t="str">
        <f t="shared" si="29"/>
        <v/>
      </c>
      <c r="C149" s="470">
        <f>IF(D93="","-",+C148+1)</f>
        <v>2065</v>
      </c>
      <c r="D149" s="345">
        <f>IF(F148+SUM(E$99:E148)=D$92,F148,D$92-SUM(E$99:E148))</f>
        <v>0</v>
      </c>
      <c r="E149" s="482">
        <f t="shared" si="32"/>
        <v>0</v>
      </c>
      <c r="F149" s="483">
        <f t="shared" si="33"/>
        <v>0</v>
      </c>
      <c r="G149" s="483">
        <f t="shared" si="34"/>
        <v>0</v>
      </c>
      <c r="H149" s="486">
        <f t="shared" si="35"/>
        <v>0</v>
      </c>
      <c r="I149" s="540">
        <f t="shared" si="36"/>
        <v>0</v>
      </c>
      <c r="J149" s="476">
        <f t="shared" si="30"/>
        <v>0</v>
      </c>
      <c r="K149" s="476"/>
      <c r="L149" s="485"/>
      <c r="M149" s="476">
        <f t="shared" si="37"/>
        <v>0</v>
      </c>
      <c r="N149" s="485"/>
      <c r="O149" s="476">
        <f t="shared" si="38"/>
        <v>0</v>
      </c>
      <c r="P149" s="476">
        <f t="shared" si="39"/>
        <v>0</v>
      </c>
    </row>
    <row r="150" spans="2:16">
      <c r="B150" s="160" t="str">
        <f t="shared" si="29"/>
        <v/>
      </c>
      <c r="C150" s="470">
        <f>IF(D93="","-",+C149+1)</f>
        <v>2066</v>
      </c>
      <c r="D150" s="345">
        <f>IF(F149+SUM(E$99:E149)=D$92,F149,D$92-SUM(E$99:E149))</f>
        <v>0</v>
      </c>
      <c r="E150" s="482">
        <f t="shared" si="32"/>
        <v>0</v>
      </c>
      <c r="F150" s="483">
        <f t="shared" si="33"/>
        <v>0</v>
      </c>
      <c r="G150" s="483">
        <f t="shared" si="34"/>
        <v>0</v>
      </c>
      <c r="H150" s="486">
        <f t="shared" si="35"/>
        <v>0</v>
      </c>
      <c r="I150" s="540">
        <f t="shared" si="36"/>
        <v>0</v>
      </c>
      <c r="J150" s="476">
        <f t="shared" si="30"/>
        <v>0</v>
      </c>
      <c r="K150" s="476"/>
      <c r="L150" s="485"/>
      <c r="M150" s="476">
        <f t="shared" si="37"/>
        <v>0</v>
      </c>
      <c r="N150" s="485"/>
      <c r="O150" s="476">
        <f t="shared" si="38"/>
        <v>0</v>
      </c>
      <c r="P150" s="476">
        <f t="shared" si="39"/>
        <v>0</v>
      </c>
    </row>
    <row r="151" spans="2:16">
      <c r="B151" s="160" t="str">
        <f t="shared" si="29"/>
        <v/>
      </c>
      <c r="C151" s="470">
        <f>IF(D93="","-",+C150+1)</f>
        <v>2067</v>
      </c>
      <c r="D151" s="345">
        <f>IF(F150+SUM(E$99:E150)=D$92,F150,D$92-SUM(E$99:E150))</f>
        <v>0</v>
      </c>
      <c r="E151" s="482">
        <f t="shared" si="32"/>
        <v>0</v>
      </c>
      <c r="F151" s="483">
        <f t="shared" si="33"/>
        <v>0</v>
      </c>
      <c r="G151" s="483">
        <f t="shared" si="34"/>
        <v>0</v>
      </c>
      <c r="H151" s="486">
        <f t="shared" si="35"/>
        <v>0</v>
      </c>
      <c r="I151" s="540">
        <f t="shared" si="36"/>
        <v>0</v>
      </c>
      <c r="J151" s="476">
        <f t="shared" si="30"/>
        <v>0</v>
      </c>
      <c r="K151" s="476"/>
      <c r="L151" s="485"/>
      <c r="M151" s="476">
        <f t="shared" si="37"/>
        <v>0</v>
      </c>
      <c r="N151" s="485"/>
      <c r="O151" s="476">
        <f t="shared" si="38"/>
        <v>0</v>
      </c>
      <c r="P151" s="476">
        <f t="shared" si="39"/>
        <v>0</v>
      </c>
    </row>
    <row r="152" spans="2:16">
      <c r="B152" s="160" t="str">
        <f t="shared" si="29"/>
        <v/>
      </c>
      <c r="C152" s="470">
        <f>IF(D93="","-",+C151+1)</f>
        <v>2068</v>
      </c>
      <c r="D152" s="345">
        <f>IF(F151+SUM(E$99:E151)=D$92,F151,D$92-SUM(E$99:E151))</f>
        <v>0</v>
      </c>
      <c r="E152" s="482">
        <f t="shared" si="32"/>
        <v>0</v>
      </c>
      <c r="F152" s="483">
        <f t="shared" si="33"/>
        <v>0</v>
      </c>
      <c r="G152" s="483">
        <f t="shared" si="34"/>
        <v>0</v>
      </c>
      <c r="H152" s="486">
        <f t="shared" si="35"/>
        <v>0</v>
      </c>
      <c r="I152" s="540">
        <f t="shared" si="36"/>
        <v>0</v>
      </c>
      <c r="J152" s="476">
        <f t="shared" si="30"/>
        <v>0</v>
      </c>
      <c r="K152" s="476"/>
      <c r="L152" s="485"/>
      <c r="M152" s="476">
        <f t="shared" si="37"/>
        <v>0</v>
      </c>
      <c r="N152" s="485"/>
      <c r="O152" s="476">
        <f t="shared" si="38"/>
        <v>0</v>
      </c>
      <c r="P152" s="476">
        <f t="shared" si="39"/>
        <v>0</v>
      </c>
    </row>
    <row r="153" spans="2:16">
      <c r="B153" s="160" t="str">
        <f t="shared" si="29"/>
        <v/>
      </c>
      <c r="C153" s="470">
        <f>IF(D93="","-",+C152+1)</f>
        <v>2069</v>
      </c>
      <c r="D153" s="345">
        <f>IF(F152+SUM(E$99:E152)=D$92,F152,D$92-SUM(E$99:E152))</f>
        <v>0</v>
      </c>
      <c r="E153" s="482">
        <f t="shared" si="32"/>
        <v>0</v>
      </c>
      <c r="F153" s="483">
        <f t="shared" si="33"/>
        <v>0</v>
      </c>
      <c r="G153" s="483">
        <f t="shared" si="34"/>
        <v>0</v>
      </c>
      <c r="H153" s="486">
        <f t="shared" si="35"/>
        <v>0</v>
      </c>
      <c r="I153" s="540">
        <f t="shared" si="36"/>
        <v>0</v>
      </c>
      <c r="J153" s="476">
        <f t="shared" si="30"/>
        <v>0</v>
      </c>
      <c r="K153" s="476"/>
      <c r="L153" s="485"/>
      <c r="M153" s="476">
        <f t="shared" si="37"/>
        <v>0</v>
      </c>
      <c r="N153" s="485"/>
      <c r="O153" s="476">
        <f t="shared" si="38"/>
        <v>0</v>
      </c>
      <c r="P153" s="476">
        <f t="shared" si="39"/>
        <v>0</v>
      </c>
    </row>
    <row r="154" spans="2:16" ht="13.5" thickBot="1">
      <c r="B154" s="160" t="str">
        <f t="shared" si="29"/>
        <v/>
      </c>
      <c r="C154" s="487">
        <f>IF(D93="","-",+C153+1)</f>
        <v>2070</v>
      </c>
      <c r="D154" s="574">
        <f>IF(F153+SUM(E$99:E153)=D$92,F153,D$92-SUM(E$99:E153))</f>
        <v>0</v>
      </c>
      <c r="E154" s="489">
        <f t="shared" si="32"/>
        <v>0</v>
      </c>
      <c r="F154" s="488">
        <f t="shared" si="33"/>
        <v>0</v>
      </c>
      <c r="G154" s="488">
        <f t="shared" si="34"/>
        <v>0</v>
      </c>
      <c r="H154" s="490">
        <f t="shared" si="35"/>
        <v>0</v>
      </c>
      <c r="I154" s="543">
        <f t="shared" si="36"/>
        <v>0</v>
      </c>
      <c r="J154" s="493">
        <f t="shared" si="30"/>
        <v>0</v>
      </c>
      <c r="K154" s="476"/>
      <c r="L154" s="492"/>
      <c r="M154" s="493">
        <f t="shared" si="37"/>
        <v>0</v>
      </c>
      <c r="N154" s="492"/>
      <c r="O154" s="493">
        <f t="shared" si="38"/>
        <v>0</v>
      </c>
      <c r="P154" s="493">
        <f t="shared" si="39"/>
        <v>0</v>
      </c>
    </row>
    <row r="155" spans="2:16">
      <c r="C155" s="345" t="s">
        <v>77</v>
      </c>
      <c r="D155" s="346"/>
      <c r="E155" s="346">
        <f>SUM(E99:E154)</f>
        <v>1692023</v>
      </c>
      <c r="F155" s="346"/>
      <c r="G155" s="346"/>
      <c r="H155" s="346">
        <f>SUM(H99:H154)</f>
        <v>5808951.3888089303</v>
      </c>
      <c r="I155" s="346">
        <f>SUM(I99:I154)</f>
        <v>5808951.3888089303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35" priority="1" stopIfTrue="1" operator="equal">
      <formula>$I$10</formula>
    </cfRule>
  </conditionalFormatting>
  <conditionalFormatting sqref="C99:C154">
    <cfRule type="cellIs" dxfId="34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67">
    <tabColor theme="9" tint="-0.249977111117893"/>
  </sheetPr>
  <dimension ref="A1:P162"/>
  <sheetViews>
    <sheetView topLeftCell="A93" zoomScaleNormal="100" zoomScaleSheetLayoutView="80" workbookViewId="0">
      <selection activeCell="D99" sqref="D99:I107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18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193977.76315789475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193977.76315789475</v>
      </c>
      <c r="O6" s="231"/>
      <c r="P6" s="231"/>
    </row>
    <row r="7" spans="1:16" ht="13.5" thickBot="1">
      <c r="C7" s="429" t="s">
        <v>46</v>
      </c>
      <c r="D7" s="597" t="s">
        <v>266</v>
      </c>
      <c r="E7" s="598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608" t="s">
        <v>269</v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273</v>
      </c>
      <c r="E9" s="575" t="s">
        <v>343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1725647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2014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4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45411.76315789474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2014</v>
      </c>
      <c r="D17" s="576">
        <v>1725646.85</v>
      </c>
      <c r="E17" s="599">
        <v>22123.677564102563</v>
      </c>
      <c r="F17" s="576">
        <v>1703523.1724358976</v>
      </c>
      <c r="G17" s="599">
        <v>256628.57821434946</v>
      </c>
      <c r="H17" s="600">
        <v>256628.57821434946</v>
      </c>
      <c r="I17" s="473">
        <v>0</v>
      </c>
      <c r="J17" s="473"/>
      <c r="K17" s="474">
        <f t="shared" ref="K17:K22" si="0">G17</f>
        <v>256628.57821434946</v>
      </c>
      <c r="L17" s="601">
        <f t="shared" ref="L17:L22" si="1">IF(K17&lt;&gt;0,+G17-K17,0)</f>
        <v>0</v>
      </c>
      <c r="M17" s="474">
        <f t="shared" ref="M17:M22" si="2">H17</f>
        <v>256628.57821434946</v>
      </c>
      <c r="N17" s="476">
        <f>IF(M17&lt;&gt;0,+H17-M17,0)</f>
        <v>0</v>
      </c>
      <c r="O17" s="473">
        <f>+N17-L17</f>
        <v>0</v>
      </c>
      <c r="P17" s="241"/>
    </row>
    <row r="18" spans="2:16">
      <c r="B18" s="160" t="str">
        <f>IF(D18=F17,"","IU")</f>
        <v/>
      </c>
      <c r="C18" s="470">
        <f>IF(D11="","-",+C17+1)</f>
        <v>2015</v>
      </c>
      <c r="D18" s="576">
        <v>1703523.1724358976</v>
      </c>
      <c r="E18" s="577">
        <v>33185.516346153847</v>
      </c>
      <c r="F18" s="576">
        <v>1670337.6560897438</v>
      </c>
      <c r="G18" s="577">
        <v>263477.7363505594</v>
      </c>
      <c r="H18" s="600">
        <v>263477.7363505594</v>
      </c>
      <c r="I18" s="473">
        <v>0</v>
      </c>
      <c r="J18" s="473"/>
      <c r="K18" s="474">
        <f t="shared" si="0"/>
        <v>263477.7363505594</v>
      </c>
      <c r="L18" s="601">
        <f t="shared" si="1"/>
        <v>0</v>
      </c>
      <c r="M18" s="474">
        <f t="shared" si="2"/>
        <v>263477.7363505594</v>
      </c>
      <c r="N18" s="476">
        <f>IF(M18&lt;&gt;0,+H18-M18,0)</f>
        <v>0</v>
      </c>
      <c r="O18" s="473">
        <f>+N18-L18</f>
        <v>0</v>
      </c>
      <c r="P18" s="241"/>
    </row>
    <row r="19" spans="2:16">
      <c r="B19" s="160" t="str">
        <f>IF(D19=F18,"","IU")</f>
        <v/>
      </c>
      <c r="C19" s="470">
        <f>IF(D11="","-",+C18+1)</f>
        <v>2016</v>
      </c>
      <c r="D19" s="576">
        <v>1670337.6560897438</v>
      </c>
      <c r="E19" s="577">
        <v>33185.516346153847</v>
      </c>
      <c r="F19" s="576">
        <v>1637152.13974359</v>
      </c>
      <c r="G19" s="577">
        <v>247913.51634615386</v>
      </c>
      <c r="H19" s="600">
        <v>247913.51634615386</v>
      </c>
      <c r="I19" s="473">
        <f>H19-G19</f>
        <v>0</v>
      </c>
      <c r="J19" s="473"/>
      <c r="K19" s="474">
        <f t="shared" si="0"/>
        <v>247913.51634615386</v>
      </c>
      <c r="L19" s="601">
        <f t="shared" si="1"/>
        <v>0</v>
      </c>
      <c r="M19" s="474">
        <f t="shared" si="2"/>
        <v>247913.51634615386</v>
      </c>
      <c r="N19" s="476">
        <f>IF(M19&lt;&gt;0,+H19-M19,0)</f>
        <v>0</v>
      </c>
      <c r="O19" s="473">
        <f>+N19-L19</f>
        <v>0</v>
      </c>
      <c r="P19" s="241"/>
    </row>
    <row r="20" spans="2:16">
      <c r="B20" s="160" t="str">
        <f t="shared" ref="B20:B72" si="3">IF(D20=F19,"","IU")</f>
        <v>IU</v>
      </c>
      <c r="C20" s="470">
        <f>IF(D11="","-",+C19+1)</f>
        <v>2017</v>
      </c>
      <c r="D20" s="576">
        <v>1637152</v>
      </c>
      <c r="E20" s="577">
        <v>37514</v>
      </c>
      <c r="F20" s="576">
        <v>1599638</v>
      </c>
      <c r="G20" s="577">
        <v>241085</v>
      </c>
      <c r="H20" s="600">
        <v>241085</v>
      </c>
      <c r="I20" s="473">
        <f t="shared" ref="I20:I72" si="4">H20-G20</f>
        <v>0</v>
      </c>
      <c r="J20" s="473"/>
      <c r="K20" s="474">
        <f t="shared" si="0"/>
        <v>241085</v>
      </c>
      <c r="L20" s="601">
        <f t="shared" si="1"/>
        <v>0</v>
      </c>
      <c r="M20" s="474">
        <f t="shared" si="2"/>
        <v>241085</v>
      </c>
      <c r="N20" s="476">
        <f>IF(M20&lt;&gt;0,+H20-M20,0)</f>
        <v>0</v>
      </c>
      <c r="O20" s="473">
        <f>+N20-L20</f>
        <v>0</v>
      </c>
      <c r="P20" s="241"/>
    </row>
    <row r="21" spans="2:16">
      <c r="B21" s="160" t="str">
        <f t="shared" si="3"/>
        <v>IU</v>
      </c>
      <c r="C21" s="470">
        <f>IF(D11="","-",+C20+1)</f>
        <v>2018</v>
      </c>
      <c r="D21" s="576">
        <v>1599638.0777870682</v>
      </c>
      <c r="E21" s="577">
        <v>38347.707777777781</v>
      </c>
      <c r="F21" s="576">
        <v>1561290.3700092905</v>
      </c>
      <c r="G21" s="577">
        <v>227622.42905835263</v>
      </c>
      <c r="H21" s="600">
        <v>227622.42905835263</v>
      </c>
      <c r="I21" s="473">
        <f t="shared" si="4"/>
        <v>0</v>
      </c>
      <c r="J21" s="473"/>
      <c r="K21" s="474">
        <f t="shared" si="0"/>
        <v>227622.42905835263</v>
      </c>
      <c r="L21" s="601">
        <f t="shared" si="1"/>
        <v>0</v>
      </c>
      <c r="M21" s="474">
        <f t="shared" si="2"/>
        <v>227622.42905835263</v>
      </c>
      <c r="N21" s="476">
        <f>IF(M21&lt;&gt;0,+H21-M21,0)</f>
        <v>0</v>
      </c>
      <c r="O21" s="473">
        <f>+N21-L21</f>
        <v>0</v>
      </c>
      <c r="P21" s="241"/>
    </row>
    <row r="22" spans="2:16">
      <c r="B22" s="160" t="str">
        <f t="shared" si="3"/>
        <v/>
      </c>
      <c r="C22" s="470">
        <f>IF(D11="","-",+C21+1)</f>
        <v>2019</v>
      </c>
      <c r="D22" s="576">
        <v>1561290.3700092905</v>
      </c>
      <c r="E22" s="577">
        <v>43141.171249999999</v>
      </c>
      <c r="F22" s="576">
        <v>1518149.1987592906</v>
      </c>
      <c r="G22" s="577">
        <v>215061.09551654221</v>
      </c>
      <c r="H22" s="600">
        <v>215061.09551654221</v>
      </c>
      <c r="I22" s="473">
        <f t="shared" si="4"/>
        <v>0</v>
      </c>
      <c r="J22" s="473"/>
      <c r="K22" s="474">
        <f t="shared" si="0"/>
        <v>215061.09551654221</v>
      </c>
      <c r="L22" s="601">
        <f t="shared" si="1"/>
        <v>0</v>
      </c>
      <c r="M22" s="474">
        <f t="shared" si="2"/>
        <v>215061.09551654221</v>
      </c>
      <c r="N22" s="476">
        <f t="shared" ref="N22:N72" si="5">IF(M22&lt;&gt;0,+H22-M22,0)</f>
        <v>0</v>
      </c>
      <c r="O22" s="476">
        <f t="shared" ref="O22:O72" si="6">+N22-L22</f>
        <v>0</v>
      </c>
      <c r="P22" s="241"/>
    </row>
    <row r="23" spans="2:16">
      <c r="B23" s="160" t="str">
        <f t="shared" si="3"/>
        <v>IU</v>
      </c>
      <c r="C23" s="470">
        <f>IF(D11="","-",+C22+1)</f>
        <v>2020</v>
      </c>
      <c r="D23" s="576">
        <v>1522942.7241880344</v>
      </c>
      <c r="E23" s="577">
        <v>41086.829761904766</v>
      </c>
      <c r="F23" s="576">
        <v>1481855.8944261298</v>
      </c>
      <c r="G23" s="577">
        <v>203353.13199328393</v>
      </c>
      <c r="H23" s="600">
        <v>203353.13199328393</v>
      </c>
      <c r="I23" s="473">
        <f t="shared" si="4"/>
        <v>0</v>
      </c>
      <c r="J23" s="473"/>
      <c r="K23" s="474">
        <f t="shared" ref="K23" si="7">G23</f>
        <v>203353.13199328393</v>
      </c>
      <c r="L23" s="601">
        <f t="shared" ref="L23" si="8">IF(K23&lt;&gt;0,+G23-K23,0)</f>
        <v>0</v>
      </c>
      <c r="M23" s="474">
        <f t="shared" ref="M23" si="9">H23</f>
        <v>203353.13199328393</v>
      </c>
      <c r="N23" s="476">
        <f t="shared" si="5"/>
        <v>0</v>
      </c>
      <c r="O23" s="476">
        <f t="shared" si="6"/>
        <v>0</v>
      </c>
      <c r="P23" s="241"/>
    </row>
    <row r="24" spans="2:16">
      <c r="B24" s="160" t="str">
        <f t="shared" si="3"/>
        <v>IU</v>
      </c>
      <c r="C24" s="470">
        <f>IF(D11="","-",+C23+1)</f>
        <v>2021</v>
      </c>
      <c r="D24" s="576">
        <v>1477062.4309539073</v>
      </c>
      <c r="E24" s="577">
        <v>40131.322093023256</v>
      </c>
      <c r="F24" s="576">
        <v>1436931.1088608841</v>
      </c>
      <c r="G24" s="577">
        <v>195063.32209302325</v>
      </c>
      <c r="H24" s="600">
        <v>195063.32209302325</v>
      </c>
      <c r="I24" s="473">
        <f t="shared" si="4"/>
        <v>0</v>
      </c>
      <c r="J24" s="473"/>
      <c r="K24" s="474">
        <f t="shared" ref="K24" si="10">G24</f>
        <v>195063.32209302325</v>
      </c>
      <c r="L24" s="601">
        <f t="shared" ref="L24" si="11">IF(K24&lt;&gt;0,+G24-K24,0)</f>
        <v>0</v>
      </c>
      <c r="M24" s="474">
        <f t="shared" ref="M24" si="12">H24</f>
        <v>195063.32209302325</v>
      </c>
      <c r="N24" s="476">
        <f t="shared" si="5"/>
        <v>0</v>
      </c>
      <c r="O24" s="476">
        <f t="shared" si="6"/>
        <v>0</v>
      </c>
      <c r="P24" s="241"/>
    </row>
    <row r="25" spans="2:16">
      <c r="B25" s="160" t="str">
        <f t="shared" si="3"/>
        <v/>
      </c>
      <c r="C25" s="470">
        <f>IF(D11="","-",+C24+1)</f>
        <v>2022</v>
      </c>
      <c r="D25" s="576">
        <v>1436931.1088608841</v>
      </c>
      <c r="E25" s="577">
        <v>41086.829761904766</v>
      </c>
      <c r="F25" s="576">
        <v>1395844.2790989794</v>
      </c>
      <c r="G25" s="577">
        <v>191574.82976190478</v>
      </c>
      <c r="H25" s="600">
        <v>191574.82976190478</v>
      </c>
      <c r="I25" s="473">
        <f t="shared" si="4"/>
        <v>0</v>
      </c>
      <c r="J25" s="473"/>
      <c r="K25" s="474">
        <f t="shared" ref="K25" si="13">G25</f>
        <v>191574.82976190478</v>
      </c>
      <c r="L25" s="601">
        <f t="shared" ref="L25" si="14">IF(K25&lt;&gt;0,+G25-K25,0)</f>
        <v>0</v>
      </c>
      <c r="M25" s="474">
        <f t="shared" ref="M25" si="15">H25</f>
        <v>191574.82976190478</v>
      </c>
      <c r="N25" s="476">
        <f t="shared" si="5"/>
        <v>0</v>
      </c>
      <c r="O25" s="476">
        <f t="shared" si="6"/>
        <v>0</v>
      </c>
      <c r="P25" s="241"/>
    </row>
    <row r="26" spans="2:16">
      <c r="B26" s="160" t="str">
        <f t="shared" si="3"/>
        <v>IU</v>
      </c>
      <c r="C26" s="470">
        <f>IF(D11="","-",+C25+1)</f>
        <v>2023</v>
      </c>
      <c r="D26" s="576">
        <v>1395844.4290989791</v>
      </c>
      <c r="E26" s="577">
        <v>44247.358974358976</v>
      </c>
      <c r="F26" s="576">
        <v>1351597.0701246201</v>
      </c>
      <c r="G26" s="577">
        <v>205572.35897435897</v>
      </c>
      <c r="H26" s="600">
        <v>205572.35897435897</v>
      </c>
      <c r="I26" s="473">
        <f t="shared" si="4"/>
        <v>0</v>
      </c>
      <c r="J26" s="473"/>
      <c r="K26" s="474">
        <f t="shared" ref="K26" si="16">G26</f>
        <v>205572.35897435897</v>
      </c>
      <c r="L26" s="601">
        <f t="shared" ref="L26" si="17">IF(K26&lt;&gt;0,+G26-K26,0)</f>
        <v>0</v>
      </c>
      <c r="M26" s="474">
        <f t="shared" ref="M26" si="18">H26</f>
        <v>205572.35897435897</v>
      </c>
      <c r="N26" s="476">
        <f t="shared" ref="N26" si="19">IF(M26&lt;&gt;0,+H26-M26,0)</f>
        <v>0</v>
      </c>
      <c r="O26" s="476">
        <f t="shared" ref="O26" si="20">+N26-L26</f>
        <v>0</v>
      </c>
      <c r="P26" s="241"/>
    </row>
    <row r="27" spans="2:16">
      <c r="B27" s="160" t="str">
        <f t="shared" si="3"/>
        <v/>
      </c>
      <c r="C27" s="631">
        <f>IF(D11="","-",+C26+1)</f>
        <v>2024</v>
      </c>
      <c r="D27" s="483">
        <f>IF(F26+SUM(E$17:E26)=D$10,F26,D$10-SUM(E$17:E26))</f>
        <v>1351597.0701246201</v>
      </c>
      <c r="E27" s="482">
        <f t="shared" ref="E27:E72" si="21">IF(+$I$14&lt;F26,$I$14,D27)</f>
        <v>45411.76315789474</v>
      </c>
      <c r="F27" s="483">
        <f t="shared" ref="F27:F72" si="22">+D27-E27</f>
        <v>1306185.3069667253</v>
      </c>
      <c r="G27" s="484">
        <f t="shared" ref="G27:G72" si="23">ROUND(I$12*F27,0)+E27</f>
        <v>193977.76315789475</v>
      </c>
      <c r="H27" s="453">
        <f t="shared" ref="H27:H72" si="24">ROUND(I$13*F27,0)+E27</f>
        <v>193977.76315789475</v>
      </c>
      <c r="I27" s="473">
        <f t="shared" si="4"/>
        <v>0</v>
      </c>
      <c r="J27" s="473"/>
      <c r="K27" s="485"/>
      <c r="L27" s="476">
        <f t="shared" ref="L27:L72" si="25">IF(K27&lt;&gt;0,+G27-K27,0)</f>
        <v>0</v>
      </c>
      <c r="M27" s="485"/>
      <c r="N27" s="476">
        <f t="shared" si="5"/>
        <v>0</v>
      </c>
      <c r="O27" s="476">
        <f t="shared" si="6"/>
        <v>0</v>
      </c>
      <c r="P27" s="241"/>
    </row>
    <row r="28" spans="2:16">
      <c r="B28" s="160" t="str">
        <f t="shared" si="3"/>
        <v/>
      </c>
      <c r="C28" s="470">
        <f>IF(D11="","-",+C27+1)</f>
        <v>2025</v>
      </c>
      <c r="D28" s="483">
        <f>IF(F27+SUM(E$17:E27)=D$10,F27,D$10-SUM(E$17:E27))</f>
        <v>1306185.3069667253</v>
      </c>
      <c r="E28" s="482">
        <f t="shared" si="21"/>
        <v>45411.76315789474</v>
      </c>
      <c r="F28" s="483">
        <f t="shared" si="22"/>
        <v>1260773.5438088304</v>
      </c>
      <c r="G28" s="484">
        <f t="shared" si="23"/>
        <v>188812.76315789475</v>
      </c>
      <c r="H28" s="453">
        <f t="shared" si="24"/>
        <v>188812.76315789475</v>
      </c>
      <c r="I28" s="473">
        <f t="shared" si="4"/>
        <v>0</v>
      </c>
      <c r="J28" s="473"/>
      <c r="K28" s="485"/>
      <c r="L28" s="476">
        <f t="shared" si="25"/>
        <v>0</v>
      </c>
      <c r="M28" s="485"/>
      <c r="N28" s="476">
        <f t="shared" si="5"/>
        <v>0</v>
      </c>
      <c r="O28" s="476">
        <f t="shared" si="6"/>
        <v>0</v>
      </c>
      <c r="P28" s="241"/>
    </row>
    <row r="29" spans="2:16">
      <c r="B29" s="160" t="str">
        <f t="shared" si="3"/>
        <v/>
      </c>
      <c r="C29" s="470">
        <f>IF(D11="","-",+C28+1)</f>
        <v>2026</v>
      </c>
      <c r="D29" s="483">
        <f>IF(F28+SUM(E$17:E28)=D$10,F28,D$10-SUM(E$17:E28))</f>
        <v>1260773.5438088304</v>
      </c>
      <c r="E29" s="482">
        <f t="shared" si="21"/>
        <v>45411.76315789474</v>
      </c>
      <c r="F29" s="483">
        <f t="shared" si="22"/>
        <v>1215361.7806509356</v>
      </c>
      <c r="G29" s="484">
        <f t="shared" si="23"/>
        <v>183646.76315789475</v>
      </c>
      <c r="H29" s="453">
        <f t="shared" si="24"/>
        <v>183646.76315789475</v>
      </c>
      <c r="I29" s="473">
        <f t="shared" si="4"/>
        <v>0</v>
      </c>
      <c r="J29" s="473"/>
      <c r="K29" s="485"/>
      <c r="L29" s="476">
        <f t="shared" si="25"/>
        <v>0</v>
      </c>
      <c r="M29" s="485"/>
      <c r="N29" s="476">
        <f t="shared" si="5"/>
        <v>0</v>
      </c>
      <c r="O29" s="476">
        <f t="shared" si="6"/>
        <v>0</v>
      </c>
      <c r="P29" s="241"/>
    </row>
    <row r="30" spans="2:16">
      <c r="B30" s="160" t="str">
        <f t="shared" si="3"/>
        <v/>
      </c>
      <c r="C30" s="470">
        <f>IF(D11="","-",+C29+1)</f>
        <v>2027</v>
      </c>
      <c r="D30" s="483">
        <f>IF(F29+SUM(E$17:E29)=D$10,F29,D$10-SUM(E$17:E29))</f>
        <v>1215361.7806509356</v>
      </c>
      <c r="E30" s="482">
        <f t="shared" si="21"/>
        <v>45411.76315789474</v>
      </c>
      <c r="F30" s="483">
        <f t="shared" si="22"/>
        <v>1169950.0174930408</v>
      </c>
      <c r="G30" s="484">
        <f t="shared" si="23"/>
        <v>178481.76315789475</v>
      </c>
      <c r="H30" s="453">
        <f t="shared" si="24"/>
        <v>178481.76315789475</v>
      </c>
      <c r="I30" s="473">
        <f t="shared" si="4"/>
        <v>0</v>
      </c>
      <c r="J30" s="473"/>
      <c r="K30" s="485"/>
      <c r="L30" s="476">
        <f t="shared" si="25"/>
        <v>0</v>
      </c>
      <c r="M30" s="485"/>
      <c r="N30" s="476">
        <f t="shared" si="5"/>
        <v>0</v>
      </c>
      <c r="O30" s="476">
        <f t="shared" si="6"/>
        <v>0</v>
      </c>
      <c r="P30" s="241"/>
    </row>
    <row r="31" spans="2:16">
      <c r="B31" s="160" t="str">
        <f t="shared" si="3"/>
        <v/>
      </c>
      <c r="C31" s="470">
        <f>IF(D11="","-",+C30+1)</f>
        <v>2028</v>
      </c>
      <c r="D31" s="483">
        <f>IF(F30+SUM(E$17:E30)=D$10,F30,D$10-SUM(E$17:E30))</f>
        <v>1169950.0174930408</v>
      </c>
      <c r="E31" s="482">
        <f t="shared" si="21"/>
        <v>45411.76315789474</v>
      </c>
      <c r="F31" s="483">
        <f t="shared" si="22"/>
        <v>1124538.2543351459</v>
      </c>
      <c r="G31" s="484">
        <f t="shared" si="23"/>
        <v>173316.76315789475</v>
      </c>
      <c r="H31" s="453">
        <f t="shared" si="24"/>
        <v>173316.76315789475</v>
      </c>
      <c r="I31" s="473">
        <f t="shared" si="4"/>
        <v>0</v>
      </c>
      <c r="J31" s="473"/>
      <c r="K31" s="485"/>
      <c r="L31" s="476">
        <f t="shared" si="25"/>
        <v>0</v>
      </c>
      <c r="M31" s="485"/>
      <c r="N31" s="476">
        <f t="shared" si="5"/>
        <v>0</v>
      </c>
      <c r="O31" s="476">
        <f t="shared" si="6"/>
        <v>0</v>
      </c>
      <c r="P31" s="241"/>
    </row>
    <row r="32" spans="2:16">
      <c r="B32" s="160" t="str">
        <f t="shared" si="3"/>
        <v/>
      </c>
      <c r="C32" s="470">
        <f>IF(D11="","-",+C31+1)</f>
        <v>2029</v>
      </c>
      <c r="D32" s="483">
        <f>IF(F31+SUM(E$17:E31)=D$10,F31,D$10-SUM(E$17:E31))</f>
        <v>1124538.2543351459</v>
      </c>
      <c r="E32" s="482">
        <f t="shared" si="21"/>
        <v>45411.76315789474</v>
      </c>
      <c r="F32" s="483">
        <f t="shared" si="22"/>
        <v>1079126.4911772511</v>
      </c>
      <c r="G32" s="484">
        <f t="shared" si="23"/>
        <v>168151.76315789475</v>
      </c>
      <c r="H32" s="453">
        <f t="shared" si="24"/>
        <v>168151.76315789475</v>
      </c>
      <c r="I32" s="473">
        <f t="shared" si="4"/>
        <v>0</v>
      </c>
      <c r="J32" s="473"/>
      <c r="K32" s="485"/>
      <c r="L32" s="476">
        <f t="shared" si="25"/>
        <v>0</v>
      </c>
      <c r="M32" s="485"/>
      <c r="N32" s="476">
        <f t="shared" si="5"/>
        <v>0</v>
      </c>
      <c r="O32" s="476">
        <f t="shared" si="6"/>
        <v>0</v>
      </c>
      <c r="P32" s="241"/>
    </row>
    <row r="33" spans="2:16">
      <c r="B33" s="160" t="str">
        <f t="shared" si="3"/>
        <v/>
      </c>
      <c r="C33" s="470">
        <f>IF(D11="","-",+C32+1)</f>
        <v>2030</v>
      </c>
      <c r="D33" s="483">
        <f>IF(F32+SUM(E$17:E32)=D$10,F32,D$10-SUM(E$17:E32))</f>
        <v>1079126.4911772511</v>
      </c>
      <c r="E33" s="482">
        <f t="shared" si="21"/>
        <v>45411.76315789474</v>
      </c>
      <c r="F33" s="483">
        <f t="shared" si="22"/>
        <v>1033714.7280193564</v>
      </c>
      <c r="G33" s="484">
        <f t="shared" si="23"/>
        <v>162986.76315789475</v>
      </c>
      <c r="H33" s="453">
        <f t="shared" si="24"/>
        <v>162986.76315789475</v>
      </c>
      <c r="I33" s="473">
        <f t="shared" si="4"/>
        <v>0</v>
      </c>
      <c r="J33" s="473"/>
      <c r="K33" s="485"/>
      <c r="L33" s="476">
        <f t="shared" si="25"/>
        <v>0</v>
      </c>
      <c r="M33" s="485"/>
      <c r="N33" s="476">
        <f t="shared" si="5"/>
        <v>0</v>
      </c>
      <c r="O33" s="476">
        <f t="shared" si="6"/>
        <v>0</v>
      </c>
      <c r="P33" s="241"/>
    </row>
    <row r="34" spans="2:16">
      <c r="B34" s="160" t="str">
        <f t="shared" si="3"/>
        <v/>
      </c>
      <c r="C34" s="470">
        <f>IF(D11="","-",+C33+1)</f>
        <v>2031</v>
      </c>
      <c r="D34" s="483">
        <f>IF(F33+SUM(E$17:E33)=D$10,F33,D$10-SUM(E$17:E33))</f>
        <v>1033714.7280193564</v>
      </c>
      <c r="E34" s="482">
        <f t="shared" si="21"/>
        <v>45411.76315789474</v>
      </c>
      <c r="F34" s="483">
        <f t="shared" si="22"/>
        <v>988302.96486146166</v>
      </c>
      <c r="G34" s="484">
        <f t="shared" si="23"/>
        <v>157821.76315789475</v>
      </c>
      <c r="H34" s="453">
        <f t="shared" si="24"/>
        <v>157821.76315789475</v>
      </c>
      <c r="I34" s="473">
        <f t="shared" si="4"/>
        <v>0</v>
      </c>
      <c r="J34" s="473"/>
      <c r="K34" s="485"/>
      <c r="L34" s="476">
        <f t="shared" si="25"/>
        <v>0</v>
      </c>
      <c r="M34" s="485"/>
      <c r="N34" s="476">
        <f t="shared" si="5"/>
        <v>0</v>
      </c>
      <c r="O34" s="476">
        <f t="shared" si="6"/>
        <v>0</v>
      </c>
      <c r="P34" s="241"/>
    </row>
    <row r="35" spans="2:16">
      <c r="B35" s="160" t="str">
        <f t="shared" si="3"/>
        <v/>
      </c>
      <c r="C35" s="470">
        <f>IF(D11="","-",+C34+1)</f>
        <v>2032</v>
      </c>
      <c r="D35" s="483">
        <f>IF(F34+SUM(E$17:E34)=D$10,F34,D$10-SUM(E$17:E34))</f>
        <v>988302.96486146166</v>
      </c>
      <c r="E35" s="482">
        <f t="shared" si="21"/>
        <v>45411.76315789474</v>
      </c>
      <c r="F35" s="483">
        <f t="shared" si="22"/>
        <v>942891.20170356694</v>
      </c>
      <c r="G35" s="484">
        <f t="shared" si="23"/>
        <v>152656.76315789475</v>
      </c>
      <c r="H35" s="453">
        <f t="shared" si="24"/>
        <v>152656.76315789475</v>
      </c>
      <c r="I35" s="473">
        <f t="shared" si="4"/>
        <v>0</v>
      </c>
      <c r="J35" s="473"/>
      <c r="K35" s="485"/>
      <c r="L35" s="476">
        <f t="shared" si="25"/>
        <v>0</v>
      </c>
      <c r="M35" s="485"/>
      <c r="N35" s="476">
        <f t="shared" si="5"/>
        <v>0</v>
      </c>
      <c r="O35" s="476">
        <f t="shared" si="6"/>
        <v>0</v>
      </c>
      <c r="P35" s="241"/>
    </row>
    <row r="36" spans="2:16">
      <c r="B36" s="160" t="str">
        <f t="shared" si="3"/>
        <v/>
      </c>
      <c r="C36" s="470">
        <f>IF(D11="","-",+C35+1)</f>
        <v>2033</v>
      </c>
      <c r="D36" s="483">
        <f>IF(F35+SUM(E$17:E35)=D$10,F35,D$10-SUM(E$17:E35))</f>
        <v>942891.20170356694</v>
      </c>
      <c r="E36" s="482">
        <f t="shared" si="21"/>
        <v>45411.76315789474</v>
      </c>
      <c r="F36" s="483">
        <f t="shared" si="22"/>
        <v>897479.43854567222</v>
      </c>
      <c r="G36" s="484">
        <f t="shared" si="23"/>
        <v>147490.76315789475</v>
      </c>
      <c r="H36" s="453">
        <f t="shared" si="24"/>
        <v>147490.76315789475</v>
      </c>
      <c r="I36" s="473">
        <f t="shared" si="4"/>
        <v>0</v>
      </c>
      <c r="J36" s="473"/>
      <c r="K36" s="485"/>
      <c r="L36" s="476">
        <f t="shared" si="25"/>
        <v>0</v>
      </c>
      <c r="M36" s="485"/>
      <c r="N36" s="476">
        <f t="shared" si="5"/>
        <v>0</v>
      </c>
      <c r="O36" s="476">
        <f t="shared" si="6"/>
        <v>0</v>
      </c>
      <c r="P36" s="241"/>
    </row>
    <row r="37" spans="2:16">
      <c r="B37" s="160" t="str">
        <f t="shared" si="3"/>
        <v/>
      </c>
      <c r="C37" s="470">
        <f>IF(D11="","-",+C36+1)</f>
        <v>2034</v>
      </c>
      <c r="D37" s="483">
        <f>IF(F36+SUM(E$17:E36)=D$10,F36,D$10-SUM(E$17:E36))</f>
        <v>897479.43854567222</v>
      </c>
      <c r="E37" s="482">
        <f t="shared" si="21"/>
        <v>45411.76315789474</v>
      </c>
      <c r="F37" s="483">
        <f t="shared" si="22"/>
        <v>852067.6753877775</v>
      </c>
      <c r="G37" s="484">
        <f t="shared" si="23"/>
        <v>142325.76315789475</v>
      </c>
      <c r="H37" s="453">
        <f t="shared" si="24"/>
        <v>142325.76315789475</v>
      </c>
      <c r="I37" s="473">
        <f t="shared" si="4"/>
        <v>0</v>
      </c>
      <c r="J37" s="473"/>
      <c r="K37" s="485"/>
      <c r="L37" s="476">
        <f t="shared" si="25"/>
        <v>0</v>
      </c>
      <c r="M37" s="485"/>
      <c r="N37" s="476">
        <f t="shared" si="5"/>
        <v>0</v>
      </c>
      <c r="O37" s="476">
        <f t="shared" si="6"/>
        <v>0</v>
      </c>
      <c r="P37" s="241"/>
    </row>
    <row r="38" spans="2:16">
      <c r="B38" s="160" t="str">
        <f t="shared" si="3"/>
        <v/>
      </c>
      <c r="C38" s="470">
        <f>IF(D11="","-",+C37+1)</f>
        <v>2035</v>
      </c>
      <c r="D38" s="483">
        <f>IF(F37+SUM(E$17:E37)=D$10,F37,D$10-SUM(E$17:E37))</f>
        <v>852067.6753877775</v>
      </c>
      <c r="E38" s="482">
        <f t="shared" si="21"/>
        <v>45411.76315789474</v>
      </c>
      <c r="F38" s="483">
        <f t="shared" si="22"/>
        <v>806655.91222988279</v>
      </c>
      <c r="G38" s="484">
        <f t="shared" si="23"/>
        <v>137160.76315789475</v>
      </c>
      <c r="H38" s="453">
        <f t="shared" si="24"/>
        <v>137160.76315789475</v>
      </c>
      <c r="I38" s="473">
        <f t="shared" si="4"/>
        <v>0</v>
      </c>
      <c r="J38" s="473"/>
      <c r="K38" s="485"/>
      <c r="L38" s="476">
        <f t="shared" si="25"/>
        <v>0</v>
      </c>
      <c r="M38" s="485"/>
      <c r="N38" s="476">
        <f t="shared" si="5"/>
        <v>0</v>
      </c>
      <c r="O38" s="476">
        <f t="shared" si="6"/>
        <v>0</v>
      </c>
      <c r="P38" s="241"/>
    </row>
    <row r="39" spans="2:16">
      <c r="B39" s="160" t="str">
        <f t="shared" si="3"/>
        <v/>
      </c>
      <c r="C39" s="470">
        <f>IF(D11="","-",+C38+1)</f>
        <v>2036</v>
      </c>
      <c r="D39" s="483">
        <f>IF(F38+SUM(E$17:E38)=D$10,F38,D$10-SUM(E$17:E38))</f>
        <v>806655.91222988279</v>
      </c>
      <c r="E39" s="482">
        <f t="shared" si="21"/>
        <v>45411.76315789474</v>
      </c>
      <c r="F39" s="483">
        <f t="shared" si="22"/>
        <v>761244.14907198807</v>
      </c>
      <c r="G39" s="484">
        <f t="shared" si="23"/>
        <v>131995.76315789475</v>
      </c>
      <c r="H39" s="453">
        <f t="shared" si="24"/>
        <v>131995.76315789475</v>
      </c>
      <c r="I39" s="473">
        <f t="shared" si="4"/>
        <v>0</v>
      </c>
      <c r="J39" s="473"/>
      <c r="K39" s="485"/>
      <c r="L39" s="476">
        <f t="shared" si="25"/>
        <v>0</v>
      </c>
      <c r="M39" s="485"/>
      <c r="N39" s="476">
        <f t="shared" si="5"/>
        <v>0</v>
      </c>
      <c r="O39" s="476">
        <f t="shared" si="6"/>
        <v>0</v>
      </c>
      <c r="P39" s="241"/>
    </row>
    <row r="40" spans="2:16">
      <c r="B40" s="160" t="str">
        <f t="shared" si="3"/>
        <v/>
      </c>
      <c r="C40" s="470">
        <f>IF(D11="","-",+C39+1)</f>
        <v>2037</v>
      </c>
      <c r="D40" s="483">
        <f>IF(F39+SUM(E$17:E39)=D$10,F39,D$10-SUM(E$17:E39))</f>
        <v>761244.14907198807</v>
      </c>
      <c r="E40" s="482">
        <f t="shared" si="21"/>
        <v>45411.76315789474</v>
      </c>
      <c r="F40" s="483">
        <f t="shared" si="22"/>
        <v>715832.38591409335</v>
      </c>
      <c r="G40" s="484">
        <f t="shared" si="23"/>
        <v>126830.76315789475</v>
      </c>
      <c r="H40" s="453">
        <f t="shared" si="24"/>
        <v>126830.76315789475</v>
      </c>
      <c r="I40" s="473">
        <f t="shared" si="4"/>
        <v>0</v>
      </c>
      <c r="J40" s="473"/>
      <c r="K40" s="485"/>
      <c r="L40" s="476">
        <f t="shared" si="25"/>
        <v>0</v>
      </c>
      <c r="M40" s="485"/>
      <c r="N40" s="476">
        <f t="shared" si="5"/>
        <v>0</v>
      </c>
      <c r="O40" s="476">
        <f t="shared" si="6"/>
        <v>0</v>
      </c>
      <c r="P40" s="241"/>
    </row>
    <row r="41" spans="2:16">
      <c r="B41" s="160" t="str">
        <f t="shared" si="3"/>
        <v/>
      </c>
      <c r="C41" s="470">
        <f>IF(D11="","-",+C40+1)</f>
        <v>2038</v>
      </c>
      <c r="D41" s="483">
        <f>IF(F40+SUM(E$17:E40)=D$10,F40,D$10-SUM(E$17:E40))</f>
        <v>715832.38591409335</v>
      </c>
      <c r="E41" s="482">
        <f t="shared" si="21"/>
        <v>45411.76315789474</v>
      </c>
      <c r="F41" s="483">
        <f t="shared" si="22"/>
        <v>670420.62275619863</v>
      </c>
      <c r="G41" s="484">
        <f t="shared" si="23"/>
        <v>121665.76315789475</v>
      </c>
      <c r="H41" s="453">
        <f t="shared" si="24"/>
        <v>121665.76315789475</v>
      </c>
      <c r="I41" s="473">
        <f t="shared" si="4"/>
        <v>0</v>
      </c>
      <c r="J41" s="473"/>
      <c r="K41" s="485"/>
      <c r="L41" s="476">
        <f t="shared" si="25"/>
        <v>0</v>
      </c>
      <c r="M41" s="485"/>
      <c r="N41" s="476">
        <f t="shared" si="5"/>
        <v>0</v>
      </c>
      <c r="O41" s="476">
        <f t="shared" si="6"/>
        <v>0</v>
      </c>
      <c r="P41" s="241"/>
    </row>
    <row r="42" spans="2:16">
      <c r="B42" s="160" t="str">
        <f t="shared" si="3"/>
        <v/>
      </c>
      <c r="C42" s="470">
        <f>IF(D11="","-",+C41+1)</f>
        <v>2039</v>
      </c>
      <c r="D42" s="483">
        <f>IF(F41+SUM(E$17:E41)=D$10,F41,D$10-SUM(E$17:E41))</f>
        <v>670420.62275619863</v>
      </c>
      <c r="E42" s="482">
        <f t="shared" si="21"/>
        <v>45411.76315789474</v>
      </c>
      <c r="F42" s="483">
        <f t="shared" si="22"/>
        <v>625008.85959830391</v>
      </c>
      <c r="G42" s="484">
        <f t="shared" si="23"/>
        <v>116500.76315789475</v>
      </c>
      <c r="H42" s="453">
        <f t="shared" si="24"/>
        <v>116500.76315789475</v>
      </c>
      <c r="I42" s="473">
        <f t="shared" si="4"/>
        <v>0</v>
      </c>
      <c r="J42" s="473"/>
      <c r="K42" s="485"/>
      <c r="L42" s="476">
        <f t="shared" si="25"/>
        <v>0</v>
      </c>
      <c r="M42" s="485"/>
      <c r="N42" s="476">
        <f t="shared" si="5"/>
        <v>0</v>
      </c>
      <c r="O42" s="476">
        <f t="shared" si="6"/>
        <v>0</v>
      </c>
      <c r="P42" s="241"/>
    </row>
    <row r="43" spans="2:16">
      <c r="B43" s="160" t="str">
        <f t="shared" si="3"/>
        <v/>
      </c>
      <c r="C43" s="470">
        <f>IF(D11="","-",+C42+1)</f>
        <v>2040</v>
      </c>
      <c r="D43" s="483">
        <f>IF(F42+SUM(E$17:E42)=D$10,F42,D$10-SUM(E$17:E42))</f>
        <v>625008.85959830391</v>
      </c>
      <c r="E43" s="482">
        <f t="shared" si="21"/>
        <v>45411.76315789474</v>
      </c>
      <c r="F43" s="483">
        <f t="shared" si="22"/>
        <v>579597.09644040919</v>
      </c>
      <c r="G43" s="484">
        <f t="shared" si="23"/>
        <v>111334.76315789475</v>
      </c>
      <c r="H43" s="453">
        <f t="shared" si="24"/>
        <v>111334.76315789475</v>
      </c>
      <c r="I43" s="473">
        <f t="shared" si="4"/>
        <v>0</v>
      </c>
      <c r="J43" s="473"/>
      <c r="K43" s="485"/>
      <c r="L43" s="476">
        <f t="shared" si="25"/>
        <v>0</v>
      </c>
      <c r="M43" s="485"/>
      <c r="N43" s="476">
        <f t="shared" si="5"/>
        <v>0</v>
      </c>
      <c r="O43" s="476">
        <f t="shared" si="6"/>
        <v>0</v>
      </c>
      <c r="P43" s="241"/>
    </row>
    <row r="44" spans="2:16">
      <c r="B44" s="160" t="str">
        <f t="shared" si="3"/>
        <v/>
      </c>
      <c r="C44" s="470">
        <f>IF(D11="","-",+C43+1)</f>
        <v>2041</v>
      </c>
      <c r="D44" s="483">
        <f>IF(F43+SUM(E$17:E43)=D$10,F43,D$10-SUM(E$17:E43))</f>
        <v>579597.09644040919</v>
      </c>
      <c r="E44" s="482">
        <f t="shared" si="21"/>
        <v>45411.76315789474</v>
      </c>
      <c r="F44" s="483">
        <f t="shared" si="22"/>
        <v>534185.33328251448</v>
      </c>
      <c r="G44" s="484">
        <f t="shared" si="23"/>
        <v>106169.76315789475</v>
      </c>
      <c r="H44" s="453">
        <f t="shared" si="24"/>
        <v>106169.76315789475</v>
      </c>
      <c r="I44" s="473">
        <f t="shared" si="4"/>
        <v>0</v>
      </c>
      <c r="J44" s="473"/>
      <c r="K44" s="485"/>
      <c r="L44" s="476">
        <f t="shared" si="25"/>
        <v>0</v>
      </c>
      <c r="M44" s="485"/>
      <c r="N44" s="476">
        <f t="shared" si="5"/>
        <v>0</v>
      </c>
      <c r="O44" s="476">
        <f t="shared" si="6"/>
        <v>0</v>
      </c>
      <c r="P44" s="241"/>
    </row>
    <row r="45" spans="2:16">
      <c r="B45" s="160" t="str">
        <f t="shared" si="3"/>
        <v/>
      </c>
      <c r="C45" s="470">
        <f>IF(D11="","-",+C44+1)</f>
        <v>2042</v>
      </c>
      <c r="D45" s="483">
        <f>IF(F44+SUM(E$17:E44)=D$10,F44,D$10-SUM(E$17:E44))</f>
        <v>534185.33328251448</v>
      </c>
      <c r="E45" s="482">
        <f t="shared" si="21"/>
        <v>45411.76315789474</v>
      </c>
      <c r="F45" s="483">
        <f t="shared" si="22"/>
        <v>488773.57012461976</v>
      </c>
      <c r="G45" s="484">
        <f t="shared" si="23"/>
        <v>101004.76315789475</v>
      </c>
      <c r="H45" s="453">
        <f t="shared" si="24"/>
        <v>101004.76315789475</v>
      </c>
      <c r="I45" s="473">
        <f t="shared" si="4"/>
        <v>0</v>
      </c>
      <c r="J45" s="473"/>
      <c r="K45" s="485"/>
      <c r="L45" s="476">
        <f t="shared" si="25"/>
        <v>0</v>
      </c>
      <c r="M45" s="485"/>
      <c r="N45" s="476">
        <f t="shared" si="5"/>
        <v>0</v>
      </c>
      <c r="O45" s="476">
        <f t="shared" si="6"/>
        <v>0</v>
      </c>
      <c r="P45" s="241"/>
    </row>
    <row r="46" spans="2:16">
      <c r="B46" s="160" t="str">
        <f t="shared" si="3"/>
        <v/>
      </c>
      <c r="C46" s="470">
        <f>IF(D11="","-",+C45+1)</f>
        <v>2043</v>
      </c>
      <c r="D46" s="483">
        <f>IF(F45+SUM(E$17:E45)=D$10,F45,D$10-SUM(E$17:E45))</f>
        <v>488773.57012461976</v>
      </c>
      <c r="E46" s="482">
        <f t="shared" si="21"/>
        <v>45411.76315789474</v>
      </c>
      <c r="F46" s="483">
        <f t="shared" si="22"/>
        <v>443361.80696672504</v>
      </c>
      <c r="G46" s="484">
        <f t="shared" si="23"/>
        <v>95839.763157894748</v>
      </c>
      <c r="H46" s="453">
        <f t="shared" si="24"/>
        <v>95839.763157894748</v>
      </c>
      <c r="I46" s="473">
        <f t="shared" si="4"/>
        <v>0</v>
      </c>
      <c r="J46" s="473"/>
      <c r="K46" s="485"/>
      <c r="L46" s="476">
        <f t="shared" si="25"/>
        <v>0</v>
      </c>
      <c r="M46" s="485"/>
      <c r="N46" s="476">
        <f t="shared" si="5"/>
        <v>0</v>
      </c>
      <c r="O46" s="476">
        <f t="shared" si="6"/>
        <v>0</v>
      </c>
      <c r="P46" s="241"/>
    </row>
    <row r="47" spans="2:16">
      <c r="B47" s="160" t="str">
        <f t="shared" si="3"/>
        <v/>
      </c>
      <c r="C47" s="470">
        <f>IF(D11="","-",+C46+1)</f>
        <v>2044</v>
      </c>
      <c r="D47" s="483">
        <f>IF(F46+SUM(E$17:E46)=D$10,F46,D$10-SUM(E$17:E46))</f>
        <v>443361.80696672504</v>
      </c>
      <c r="E47" s="482">
        <f t="shared" si="21"/>
        <v>45411.76315789474</v>
      </c>
      <c r="F47" s="483">
        <f t="shared" si="22"/>
        <v>397950.04380883032</v>
      </c>
      <c r="G47" s="484">
        <f t="shared" si="23"/>
        <v>90674.763157894748</v>
      </c>
      <c r="H47" s="453">
        <f t="shared" si="24"/>
        <v>90674.763157894748</v>
      </c>
      <c r="I47" s="473">
        <f t="shared" si="4"/>
        <v>0</v>
      </c>
      <c r="J47" s="473"/>
      <c r="K47" s="485"/>
      <c r="L47" s="476">
        <f t="shared" si="25"/>
        <v>0</v>
      </c>
      <c r="M47" s="485"/>
      <c r="N47" s="476">
        <f t="shared" si="5"/>
        <v>0</v>
      </c>
      <c r="O47" s="476">
        <f t="shared" si="6"/>
        <v>0</v>
      </c>
      <c r="P47" s="241"/>
    </row>
    <row r="48" spans="2:16">
      <c r="B48" s="160" t="str">
        <f t="shared" si="3"/>
        <v/>
      </c>
      <c r="C48" s="470">
        <f>IF(D11="","-",+C47+1)</f>
        <v>2045</v>
      </c>
      <c r="D48" s="483">
        <f>IF(F47+SUM(E$17:E47)=D$10,F47,D$10-SUM(E$17:E47))</f>
        <v>397950.04380883032</v>
      </c>
      <c r="E48" s="482">
        <f t="shared" si="21"/>
        <v>45411.76315789474</v>
      </c>
      <c r="F48" s="483">
        <f t="shared" si="22"/>
        <v>352538.2806509356</v>
      </c>
      <c r="G48" s="484">
        <f t="shared" si="23"/>
        <v>85509.763157894748</v>
      </c>
      <c r="H48" s="453">
        <f t="shared" si="24"/>
        <v>85509.763157894748</v>
      </c>
      <c r="I48" s="473">
        <f t="shared" si="4"/>
        <v>0</v>
      </c>
      <c r="J48" s="473"/>
      <c r="K48" s="485"/>
      <c r="L48" s="476">
        <f t="shared" si="25"/>
        <v>0</v>
      </c>
      <c r="M48" s="485"/>
      <c r="N48" s="476">
        <f t="shared" si="5"/>
        <v>0</v>
      </c>
      <c r="O48" s="476">
        <f t="shared" si="6"/>
        <v>0</v>
      </c>
      <c r="P48" s="241"/>
    </row>
    <row r="49" spans="2:16">
      <c r="B49" s="160" t="str">
        <f t="shared" si="3"/>
        <v/>
      </c>
      <c r="C49" s="470">
        <f>IF(D11="","-",+C48+1)</f>
        <v>2046</v>
      </c>
      <c r="D49" s="483">
        <f>IF(F48+SUM(E$17:E48)=D$10,F48,D$10-SUM(E$17:E48))</f>
        <v>352538.2806509356</v>
      </c>
      <c r="E49" s="482">
        <f t="shared" si="21"/>
        <v>45411.76315789474</v>
      </c>
      <c r="F49" s="483">
        <f t="shared" si="22"/>
        <v>307126.51749304088</v>
      </c>
      <c r="G49" s="484">
        <f t="shared" si="23"/>
        <v>80344.763157894748</v>
      </c>
      <c r="H49" s="453">
        <f t="shared" si="24"/>
        <v>80344.763157894748</v>
      </c>
      <c r="I49" s="473">
        <f t="shared" si="4"/>
        <v>0</v>
      </c>
      <c r="J49" s="473"/>
      <c r="K49" s="485"/>
      <c r="L49" s="476">
        <f t="shared" si="25"/>
        <v>0</v>
      </c>
      <c r="M49" s="485"/>
      <c r="N49" s="476">
        <f t="shared" si="5"/>
        <v>0</v>
      </c>
      <c r="O49" s="476">
        <f t="shared" si="6"/>
        <v>0</v>
      </c>
      <c r="P49" s="241"/>
    </row>
    <row r="50" spans="2:16">
      <c r="B50" s="160" t="str">
        <f t="shared" si="3"/>
        <v/>
      </c>
      <c r="C50" s="470">
        <f>IF(D11="","-",+C49+1)</f>
        <v>2047</v>
      </c>
      <c r="D50" s="483">
        <f>IF(F49+SUM(E$17:E49)=D$10,F49,D$10-SUM(E$17:E49))</f>
        <v>307126.51749304088</v>
      </c>
      <c r="E50" s="482">
        <f t="shared" si="21"/>
        <v>45411.76315789474</v>
      </c>
      <c r="F50" s="483">
        <f t="shared" si="22"/>
        <v>261714.75433514614</v>
      </c>
      <c r="G50" s="484">
        <f t="shared" si="23"/>
        <v>75178.763157894748</v>
      </c>
      <c r="H50" s="453">
        <f t="shared" si="24"/>
        <v>75178.763157894748</v>
      </c>
      <c r="I50" s="473">
        <f t="shared" si="4"/>
        <v>0</v>
      </c>
      <c r="J50" s="473"/>
      <c r="K50" s="485"/>
      <c r="L50" s="476">
        <f t="shared" si="25"/>
        <v>0</v>
      </c>
      <c r="M50" s="485"/>
      <c r="N50" s="476">
        <f t="shared" si="5"/>
        <v>0</v>
      </c>
      <c r="O50" s="476">
        <f t="shared" si="6"/>
        <v>0</v>
      </c>
      <c r="P50" s="241"/>
    </row>
    <row r="51" spans="2:16">
      <c r="B51" s="160" t="str">
        <f t="shared" si="3"/>
        <v/>
      </c>
      <c r="C51" s="470">
        <f>IF(D11="","-",+C50+1)</f>
        <v>2048</v>
      </c>
      <c r="D51" s="483">
        <f>IF(F50+SUM(E$17:E50)=D$10,F50,D$10-SUM(E$17:E50))</f>
        <v>261714.75433514614</v>
      </c>
      <c r="E51" s="482">
        <f t="shared" si="21"/>
        <v>45411.76315789474</v>
      </c>
      <c r="F51" s="483">
        <f t="shared" si="22"/>
        <v>216302.99117725139</v>
      </c>
      <c r="G51" s="484">
        <f t="shared" si="23"/>
        <v>70013.763157894748</v>
      </c>
      <c r="H51" s="453">
        <f t="shared" si="24"/>
        <v>70013.763157894748</v>
      </c>
      <c r="I51" s="473">
        <f t="shared" si="4"/>
        <v>0</v>
      </c>
      <c r="J51" s="473"/>
      <c r="K51" s="485"/>
      <c r="L51" s="476">
        <f t="shared" si="25"/>
        <v>0</v>
      </c>
      <c r="M51" s="485"/>
      <c r="N51" s="476">
        <f t="shared" si="5"/>
        <v>0</v>
      </c>
      <c r="O51" s="476">
        <f t="shared" si="6"/>
        <v>0</v>
      </c>
      <c r="P51" s="241"/>
    </row>
    <row r="52" spans="2:16">
      <c r="B52" s="160" t="str">
        <f t="shared" si="3"/>
        <v/>
      </c>
      <c r="C52" s="470">
        <f>IF(D11="","-",+C51+1)</f>
        <v>2049</v>
      </c>
      <c r="D52" s="483">
        <f>IF(F51+SUM(E$17:E51)=D$10,F51,D$10-SUM(E$17:E51))</f>
        <v>216302.99117725139</v>
      </c>
      <c r="E52" s="482">
        <f t="shared" si="21"/>
        <v>45411.76315789474</v>
      </c>
      <c r="F52" s="483">
        <f t="shared" si="22"/>
        <v>170891.22801935664</v>
      </c>
      <c r="G52" s="484">
        <f t="shared" si="23"/>
        <v>64848.76315789474</v>
      </c>
      <c r="H52" s="453">
        <f t="shared" si="24"/>
        <v>64848.76315789474</v>
      </c>
      <c r="I52" s="473">
        <f t="shared" si="4"/>
        <v>0</v>
      </c>
      <c r="J52" s="473"/>
      <c r="K52" s="485"/>
      <c r="L52" s="476">
        <f t="shared" si="25"/>
        <v>0</v>
      </c>
      <c r="M52" s="485"/>
      <c r="N52" s="476">
        <f t="shared" si="5"/>
        <v>0</v>
      </c>
      <c r="O52" s="476">
        <f t="shared" si="6"/>
        <v>0</v>
      </c>
      <c r="P52" s="241"/>
    </row>
    <row r="53" spans="2:16">
      <c r="B53" s="160" t="str">
        <f t="shared" si="3"/>
        <v/>
      </c>
      <c r="C53" s="470">
        <f>IF(D11="","-",+C52+1)</f>
        <v>2050</v>
      </c>
      <c r="D53" s="483">
        <f>IF(F52+SUM(E$17:E52)=D$10,F52,D$10-SUM(E$17:E52))</f>
        <v>170891.22801935664</v>
      </c>
      <c r="E53" s="482">
        <f t="shared" si="21"/>
        <v>45411.76315789474</v>
      </c>
      <c r="F53" s="483">
        <f t="shared" si="22"/>
        <v>125479.46486146189</v>
      </c>
      <c r="G53" s="484">
        <f t="shared" si="23"/>
        <v>59683.76315789474</v>
      </c>
      <c r="H53" s="453">
        <f t="shared" si="24"/>
        <v>59683.76315789474</v>
      </c>
      <c r="I53" s="473">
        <f t="shared" si="4"/>
        <v>0</v>
      </c>
      <c r="J53" s="473"/>
      <c r="K53" s="485"/>
      <c r="L53" s="476">
        <f t="shared" si="25"/>
        <v>0</v>
      </c>
      <c r="M53" s="485"/>
      <c r="N53" s="476">
        <f t="shared" si="5"/>
        <v>0</v>
      </c>
      <c r="O53" s="476">
        <f t="shared" si="6"/>
        <v>0</v>
      </c>
      <c r="P53" s="241"/>
    </row>
    <row r="54" spans="2:16">
      <c r="B54" s="160" t="str">
        <f t="shared" si="3"/>
        <v/>
      </c>
      <c r="C54" s="470">
        <f>IF(D11="","-",+C53+1)</f>
        <v>2051</v>
      </c>
      <c r="D54" s="483">
        <f>IF(F53+SUM(E$17:E53)=D$10,F53,D$10-SUM(E$17:E53))</f>
        <v>125479.46486146189</v>
      </c>
      <c r="E54" s="482">
        <f t="shared" si="21"/>
        <v>45411.76315789474</v>
      </c>
      <c r="F54" s="483">
        <f t="shared" si="22"/>
        <v>80067.701703567145</v>
      </c>
      <c r="G54" s="484">
        <f t="shared" si="23"/>
        <v>54518.76315789474</v>
      </c>
      <c r="H54" s="453">
        <f t="shared" si="24"/>
        <v>54518.76315789474</v>
      </c>
      <c r="I54" s="473">
        <f t="shared" si="4"/>
        <v>0</v>
      </c>
      <c r="J54" s="473"/>
      <c r="K54" s="485"/>
      <c r="L54" s="476">
        <f t="shared" si="25"/>
        <v>0</v>
      </c>
      <c r="M54" s="485"/>
      <c r="N54" s="476">
        <f t="shared" si="5"/>
        <v>0</v>
      </c>
      <c r="O54" s="476">
        <f t="shared" si="6"/>
        <v>0</v>
      </c>
      <c r="P54" s="241"/>
    </row>
    <row r="55" spans="2:16">
      <c r="B55" s="160" t="str">
        <f t="shared" si="3"/>
        <v/>
      </c>
      <c r="C55" s="470">
        <f>IF(D11="","-",+C54+1)</f>
        <v>2052</v>
      </c>
      <c r="D55" s="483">
        <f>IF(F54+SUM(E$17:E54)=D$10,F54,D$10-SUM(E$17:E54))</f>
        <v>80067.701703567145</v>
      </c>
      <c r="E55" s="482">
        <f t="shared" si="21"/>
        <v>45411.76315789474</v>
      </c>
      <c r="F55" s="483">
        <f t="shared" si="22"/>
        <v>34655.938545672405</v>
      </c>
      <c r="G55" s="484">
        <f t="shared" si="23"/>
        <v>49353.76315789474</v>
      </c>
      <c r="H55" s="453">
        <f t="shared" si="24"/>
        <v>49353.76315789474</v>
      </c>
      <c r="I55" s="473">
        <f t="shared" si="4"/>
        <v>0</v>
      </c>
      <c r="J55" s="473"/>
      <c r="K55" s="485"/>
      <c r="L55" s="476">
        <f t="shared" si="25"/>
        <v>0</v>
      </c>
      <c r="M55" s="485"/>
      <c r="N55" s="476">
        <f t="shared" si="5"/>
        <v>0</v>
      </c>
      <c r="O55" s="476">
        <f t="shared" si="6"/>
        <v>0</v>
      </c>
      <c r="P55" s="241"/>
    </row>
    <row r="56" spans="2:16">
      <c r="B56" s="160" t="str">
        <f t="shared" si="3"/>
        <v/>
      </c>
      <c r="C56" s="470">
        <f>IF(D11="","-",+C55+1)</f>
        <v>2053</v>
      </c>
      <c r="D56" s="483">
        <f>IF(F55+SUM(E$17:E55)=D$10,F55,D$10-SUM(E$17:E55))</f>
        <v>34655.938545672405</v>
      </c>
      <c r="E56" s="482">
        <f t="shared" si="21"/>
        <v>34655.938545672405</v>
      </c>
      <c r="F56" s="483">
        <f t="shared" si="22"/>
        <v>0</v>
      </c>
      <c r="G56" s="484">
        <f t="shared" si="23"/>
        <v>34655.938545672405</v>
      </c>
      <c r="H56" s="453">
        <f t="shared" si="24"/>
        <v>34655.938545672405</v>
      </c>
      <c r="I56" s="473">
        <f t="shared" si="4"/>
        <v>0</v>
      </c>
      <c r="J56" s="473"/>
      <c r="K56" s="485"/>
      <c r="L56" s="476">
        <f t="shared" si="25"/>
        <v>0</v>
      </c>
      <c r="M56" s="485"/>
      <c r="N56" s="476">
        <f t="shared" si="5"/>
        <v>0</v>
      </c>
      <c r="O56" s="476">
        <f t="shared" si="6"/>
        <v>0</v>
      </c>
      <c r="P56" s="241"/>
    </row>
    <row r="57" spans="2:16">
      <c r="B57" s="160" t="str">
        <f t="shared" si="3"/>
        <v/>
      </c>
      <c r="C57" s="470">
        <f>IF(D11="","-",+C56+1)</f>
        <v>2054</v>
      </c>
      <c r="D57" s="483">
        <f>IF(F56+SUM(E$17:E56)=D$10,F56,D$10-SUM(E$17:E56))</f>
        <v>0</v>
      </c>
      <c r="E57" s="482">
        <f t="shared" si="21"/>
        <v>0</v>
      </c>
      <c r="F57" s="483">
        <f t="shared" si="22"/>
        <v>0</v>
      </c>
      <c r="G57" s="484">
        <f t="shared" si="23"/>
        <v>0</v>
      </c>
      <c r="H57" s="453">
        <f t="shared" si="24"/>
        <v>0</v>
      </c>
      <c r="I57" s="473">
        <f t="shared" si="4"/>
        <v>0</v>
      </c>
      <c r="J57" s="473"/>
      <c r="K57" s="485"/>
      <c r="L57" s="476">
        <f t="shared" si="25"/>
        <v>0</v>
      </c>
      <c r="M57" s="485"/>
      <c r="N57" s="476">
        <f t="shared" si="5"/>
        <v>0</v>
      </c>
      <c r="O57" s="476">
        <f t="shared" si="6"/>
        <v>0</v>
      </c>
      <c r="P57" s="241"/>
    </row>
    <row r="58" spans="2:16">
      <c r="B58" s="160" t="str">
        <f t="shared" si="3"/>
        <v/>
      </c>
      <c r="C58" s="470">
        <f>IF(D11="","-",+C57+1)</f>
        <v>2055</v>
      </c>
      <c r="D58" s="483">
        <f>IF(F57+SUM(E$17:E57)=D$10,F57,D$10-SUM(E$17:E57))</f>
        <v>0</v>
      </c>
      <c r="E58" s="482">
        <f t="shared" si="21"/>
        <v>0</v>
      </c>
      <c r="F58" s="483">
        <f t="shared" si="22"/>
        <v>0</v>
      </c>
      <c r="G58" s="484">
        <f t="shared" si="23"/>
        <v>0</v>
      </c>
      <c r="H58" s="453">
        <f t="shared" si="24"/>
        <v>0</v>
      </c>
      <c r="I58" s="473">
        <f t="shared" si="4"/>
        <v>0</v>
      </c>
      <c r="J58" s="473"/>
      <c r="K58" s="485"/>
      <c r="L58" s="476">
        <f t="shared" si="25"/>
        <v>0</v>
      </c>
      <c r="M58" s="485"/>
      <c r="N58" s="476">
        <f t="shared" si="5"/>
        <v>0</v>
      </c>
      <c r="O58" s="476">
        <f t="shared" si="6"/>
        <v>0</v>
      </c>
      <c r="P58" s="241"/>
    </row>
    <row r="59" spans="2:16">
      <c r="B59" s="160" t="str">
        <f t="shared" si="3"/>
        <v/>
      </c>
      <c r="C59" s="470">
        <f>IF(D11="","-",+C58+1)</f>
        <v>2056</v>
      </c>
      <c r="D59" s="483">
        <f>IF(F58+SUM(E$17:E58)=D$10,F58,D$10-SUM(E$17:E58))</f>
        <v>0</v>
      </c>
      <c r="E59" s="482">
        <f t="shared" si="21"/>
        <v>0</v>
      </c>
      <c r="F59" s="483">
        <f t="shared" si="22"/>
        <v>0</v>
      </c>
      <c r="G59" s="484">
        <f t="shared" si="23"/>
        <v>0</v>
      </c>
      <c r="H59" s="453">
        <f t="shared" si="24"/>
        <v>0</v>
      </c>
      <c r="I59" s="473">
        <f t="shared" si="4"/>
        <v>0</v>
      </c>
      <c r="J59" s="473"/>
      <c r="K59" s="485"/>
      <c r="L59" s="476">
        <f t="shared" si="25"/>
        <v>0</v>
      </c>
      <c r="M59" s="485"/>
      <c r="N59" s="476">
        <f t="shared" si="5"/>
        <v>0</v>
      </c>
      <c r="O59" s="476">
        <f t="shared" si="6"/>
        <v>0</v>
      </c>
      <c r="P59" s="241"/>
    </row>
    <row r="60" spans="2:16">
      <c r="B60" s="160" t="str">
        <f t="shared" si="3"/>
        <v/>
      </c>
      <c r="C60" s="470">
        <f>IF(D11="","-",+C59+1)</f>
        <v>2057</v>
      </c>
      <c r="D60" s="483">
        <f>IF(F59+SUM(E$17:E59)=D$10,F59,D$10-SUM(E$17:E59))</f>
        <v>0</v>
      </c>
      <c r="E60" s="482">
        <f t="shared" si="21"/>
        <v>0</v>
      </c>
      <c r="F60" s="483">
        <f t="shared" si="22"/>
        <v>0</v>
      </c>
      <c r="G60" s="484">
        <f t="shared" si="23"/>
        <v>0</v>
      </c>
      <c r="H60" s="453">
        <f t="shared" si="24"/>
        <v>0</v>
      </c>
      <c r="I60" s="473">
        <f t="shared" si="4"/>
        <v>0</v>
      </c>
      <c r="J60" s="473"/>
      <c r="K60" s="485"/>
      <c r="L60" s="476">
        <f t="shared" si="25"/>
        <v>0</v>
      </c>
      <c r="M60" s="485"/>
      <c r="N60" s="476">
        <f t="shared" si="5"/>
        <v>0</v>
      </c>
      <c r="O60" s="476">
        <f t="shared" si="6"/>
        <v>0</v>
      </c>
      <c r="P60" s="241"/>
    </row>
    <row r="61" spans="2:16">
      <c r="B61" s="160" t="str">
        <f t="shared" si="3"/>
        <v/>
      </c>
      <c r="C61" s="470">
        <f>IF(D11="","-",+C60+1)</f>
        <v>2058</v>
      </c>
      <c r="D61" s="483">
        <f>IF(F60+SUM(E$17:E60)=D$10,F60,D$10-SUM(E$17:E60))</f>
        <v>0</v>
      </c>
      <c r="E61" s="482">
        <f t="shared" si="21"/>
        <v>0</v>
      </c>
      <c r="F61" s="483">
        <f t="shared" si="22"/>
        <v>0</v>
      </c>
      <c r="G61" s="484">
        <f t="shared" si="23"/>
        <v>0</v>
      </c>
      <c r="H61" s="453">
        <f t="shared" si="24"/>
        <v>0</v>
      </c>
      <c r="I61" s="473">
        <f t="shared" si="4"/>
        <v>0</v>
      </c>
      <c r="J61" s="473"/>
      <c r="K61" s="485"/>
      <c r="L61" s="476">
        <f t="shared" si="25"/>
        <v>0</v>
      </c>
      <c r="M61" s="485"/>
      <c r="N61" s="476">
        <f t="shared" si="5"/>
        <v>0</v>
      </c>
      <c r="O61" s="476">
        <f t="shared" si="6"/>
        <v>0</v>
      </c>
      <c r="P61" s="241"/>
    </row>
    <row r="62" spans="2:16">
      <c r="B62" s="160" t="str">
        <f t="shared" si="3"/>
        <v/>
      </c>
      <c r="C62" s="470">
        <f>IF(D11="","-",+C61+1)</f>
        <v>2059</v>
      </c>
      <c r="D62" s="483">
        <f>IF(F61+SUM(E$17:E61)=D$10,F61,D$10-SUM(E$17:E61))</f>
        <v>0</v>
      </c>
      <c r="E62" s="482">
        <f t="shared" si="21"/>
        <v>0</v>
      </c>
      <c r="F62" s="483">
        <f t="shared" si="22"/>
        <v>0</v>
      </c>
      <c r="G62" s="484">
        <f t="shared" si="23"/>
        <v>0</v>
      </c>
      <c r="H62" s="453">
        <f t="shared" si="24"/>
        <v>0</v>
      </c>
      <c r="I62" s="473">
        <f t="shared" si="4"/>
        <v>0</v>
      </c>
      <c r="J62" s="473"/>
      <c r="K62" s="485"/>
      <c r="L62" s="476">
        <f t="shared" si="25"/>
        <v>0</v>
      </c>
      <c r="M62" s="485"/>
      <c r="N62" s="476">
        <f t="shared" si="5"/>
        <v>0</v>
      </c>
      <c r="O62" s="476">
        <f t="shared" si="6"/>
        <v>0</v>
      </c>
      <c r="P62" s="241"/>
    </row>
    <row r="63" spans="2:16">
      <c r="B63" s="160" t="str">
        <f t="shared" si="3"/>
        <v/>
      </c>
      <c r="C63" s="470">
        <f>IF(D11="","-",+C62+1)</f>
        <v>2060</v>
      </c>
      <c r="D63" s="483">
        <f>IF(F62+SUM(E$17:E62)=D$10,F62,D$10-SUM(E$17:E62))</f>
        <v>0</v>
      </c>
      <c r="E63" s="482">
        <f t="shared" si="21"/>
        <v>0</v>
      </c>
      <c r="F63" s="483">
        <f t="shared" si="22"/>
        <v>0</v>
      </c>
      <c r="G63" s="484">
        <f t="shared" si="23"/>
        <v>0</v>
      </c>
      <c r="H63" s="453">
        <f t="shared" si="24"/>
        <v>0</v>
      </c>
      <c r="I63" s="473">
        <f t="shared" si="4"/>
        <v>0</v>
      </c>
      <c r="J63" s="473"/>
      <c r="K63" s="485"/>
      <c r="L63" s="476">
        <f t="shared" si="25"/>
        <v>0</v>
      </c>
      <c r="M63" s="485"/>
      <c r="N63" s="476">
        <f t="shared" si="5"/>
        <v>0</v>
      </c>
      <c r="O63" s="476">
        <f t="shared" si="6"/>
        <v>0</v>
      </c>
      <c r="P63" s="241"/>
    </row>
    <row r="64" spans="2:16">
      <c r="B64" s="160" t="str">
        <f t="shared" si="3"/>
        <v/>
      </c>
      <c r="C64" s="470">
        <f>IF(D11="","-",+C63+1)</f>
        <v>2061</v>
      </c>
      <c r="D64" s="483">
        <f>IF(F63+SUM(E$17:E63)=D$10,F63,D$10-SUM(E$17:E63))</f>
        <v>0</v>
      </c>
      <c r="E64" s="482">
        <f t="shared" si="21"/>
        <v>0</v>
      </c>
      <c r="F64" s="483">
        <f t="shared" si="22"/>
        <v>0</v>
      </c>
      <c r="G64" s="484">
        <f t="shared" si="23"/>
        <v>0</v>
      </c>
      <c r="H64" s="453">
        <f t="shared" si="24"/>
        <v>0</v>
      </c>
      <c r="I64" s="473">
        <f t="shared" si="4"/>
        <v>0</v>
      </c>
      <c r="J64" s="473"/>
      <c r="K64" s="485"/>
      <c r="L64" s="476">
        <f t="shared" si="25"/>
        <v>0</v>
      </c>
      <c r="M64" s="485"/>
      <c r="N64" s="476">
        <f t="shared" si="5"/>
        <v>0</v>
      </c>
      <c r="O64" s="476">
        <f t="shared" si="6"/>
        <v>0</v>
      </c>
      <c r="P64" s="241"/>
    </row>
    <row r="65" spans="2:16">
      <c r="B65" s="160" t="str">
        <f t="shared" si="3"/>
        <v/>
      </c>
      <c r="C65" s="470">
        <f>IF(D11="","-",+C64+1)</f>
        <v>2062</v>
      </c>
      <c r="D65" s="483">
        <f>IF(F64+SUM(E$17:E64)=D$10,F64,D$10-SUM(E$17:E64))</f>
        <v>0</v>
      </c>
      <c r="E65" s="482">
        <f t="shared" si="21"/>
        <v>0</v>
      </c>
      <c r="F65" s="483">
        <f t="shared" si="22"/>
        <v>0</v>
      </c>
      <c r="G65" s="484">
        <f t="shared" si="23"/>
        <v>0</v>
      </c>
      <c r="H65" s="453">
        <f t="shared" si="24"/>
        <v>0</v>
      </c>
      <c r="I65" s="473">
        <f t="shared" si="4"/>
        <v>0</v>
      </c>
      <c r="J65" s="473"/>
      <c r="K65" s="485"/>
      <c r="L65" s="476">
        <f t="shared" si="25"/>
        <v>0</v>
      </c>
      <c r="M65" s="485"/>
      <c r="N65" s="476">
        <f t="shared" si="5"/>
        <v>0</v>
      </c>
      <c r="O65" s="476">
        <f t="shared" si="6"/>
        <v>0</v>
      </c>
      <c r="P65" s="241"/>
    </row>
    <row r="66" spans="2:16">
      <c r="B66" s="160" t="str">
        <f t="shared" si="3"/>
        <v/>
      </c>
      <c r="C66" s="470">
        <f>IF(D11="","-",+C65+1)</f>
        <v>2063</v>
      </c>
      <c r="D66" s="483">
        <f>IF(F65+SUM(E$17:E65)=D$10,F65,D$10-SUM(E$17:E65))</f>
        <v>0</v>
      </c>
      <c r="E66" s="482">
        <f t="shared" si="21"/>
        <v>0</v>
      </c>
      <c r="F66" s="483">
        <f t="shared" si="22"/>
        <v>0</v>
      </c>
      <c r="G66" s="484">
        <f t="shared" si="23"/>
        <v>0</v>
      </c>
      <c r="H66" s="453">
        <f t="shared" si="24"/>
        <v>0</v>
      </c>
      <c r="I66" s="473">
        <f t="shared" si="4"/>
        <v>0</v>
      </c>
      <c r="J66" s="473"/>
      <c r="K66" s="485"/>
      <c r="L66" s="476">
        <f t="shared" si="25"/>
        <v>0</v>
      </c>
      <c r="M66" s="485"/>
      <c r="N66" s="476">
        <f t="shared" si="5"/>
        <v>0</v>
      </c>
      <c r="O66" s="476">
        <f t="shared" si="6"/>
        <v>0</v>
      </c>
      <c r="P66" s="241"/>
    </row>
    <row r="67" spans="2:16">
      <c r="B67" s="160" t="str">
        <f t="shared" si="3"/>
        <v/>
      </c>
      <c r="C67" s="470">
        <f>IF(D11="","-",+C66+1)</f>
        <v>2064</v>
      </c>
      <c r="D67" s="483">
        <f>IF(F66+SUM(E$17:E66)=D$10,F66,D$10-SUM(E$17:E66))</f>
        <v>0</v>
      </c>
      <c r="E67" s="482">
        <f t="shared" si="21"/>
        <v>0</v>
      </c>
      <c r="F67" s="483">
        <f t="shared" si="22"/>
        <v>0</v>
      </c>
      <c r="G67" s="484">
        <f t="shared" si="23"/>
        <v>0</v>
      </c>
      <c r="H67" s="453">
        <f t="shared" si="24"/>
        <v>0</v>
      </c>
      <c r="I67" s="473">
        <f t="shared" si="4"/>
        <v>0</v>
      </c>
      <c r="J67" s="473"/>
      <c r="K67" s="485"/>
      <c r="L67" s="476">
        <f t="shared" si="25"/>
        <v>0</v>
      </c>
      <c r="M67" s="485"/>
      <c r="N67" s="476">
        <f t="shared" si="5"/>
        <v>0</v>
      </c>
      <c r="O67" s="476">
        <f t="shared" si="6"/>
        <v>0</v>
      </c>
      <c r="P67" s="241"/>
    </row>
    <row r="68" spans="2:16">
      <c r="B68" s="160" t="str">
        <f t="shared" si="3"/>
        <v/>
      </c>
      <c r="C68" s="470">
        <f>IF(D11="","-",+C67+1)</f>
        <v>2065</v>
      </c>
      <c r="D68" s="483">
        <f>IF(F67+SUM(E$17:E67)=D$10,F67,D$10-SUM(E$17:E67))</f>
        <v>0</v>
      </c>
      <c r="E68" s="482">
        <f t="shared" si="21"/>
        <v>0</v>
      </c>
      <c r="F68" s="483">
        <f t="shared" si="22"/>
        <v>0</v>
      </c>
      <c r="G68" s="484">
        <f t="shared" si="23"/>
        <v>0</v>
      </c>
      <c r="H68" s="453">
        <f t="shared" si="24"/>
        <v>0</v>
      </c>
      <c r="I68" s="473">
        <f t="shared" si="4"/>
        <v>0</v>
      </c>
      <c r="J68" s="473"/>
      <c r="K68" s="485"/>
      <c r="L68" s="476">
        <f t="shared" si="25"/>
        <v>0</v>
      </c>
      <c r="M68" s="485"/>
      <c r="N68" s="476">
        <f t="shared" si="5"/>
        <v>0</v>
      </c>
      <c r="O68" s="476">
        <f t="shared" si="6"/>
        <v>0</v>
      </c>
      <c r="P68" s="241"/>
    </row>
    <row r="69" spans="2:16">
      <c r="B69" s="160" t="str">
        <f t="shared" si="3"/>
        <v/>
      </c>
      <c r="C69" s="470">
        <f>IF(D11="","-",+C68+1)</f>
        <v>2066</v>
      </c>
      <c r="D69" s="483">
        <f>IF(F68+SUM(E$17:E68)=D$10,F68,D$10-SUM(E$17:E68))</f>
        <v>0</v>
      </c>
      <c r="E69" s="482">
        <f t="shared" si="21"/>
        <v>0</v>
      </c>
      <c r="F69" s="483">
        <f t="shared" si="22"/>
        <v>0</v>
      </c>
      <c r="G69" s="484">
        <f t="shared" si="23"/>
        <v>0</v>
      </c>
      <c r="H69" s="453">
        <f t="shared" si="24"/>
        <v>0</v>
      </c>
      <c r="I69" s="473">
        <f t="shared" si="4"/>
        <v>0</v>
      </c>
      <c r="J69" s="473"/>
      <c r="K69" s="485"/>
      <c r="L69" s="476">
        <f t="shared" si="25"/>
        <v>0</v>
      </c>
      <c r="M69" s="485"/>
      <c r="N69" s="476">
        <f t="shared" si="5"/>
        <v>0</v>
      </c>
      <c r="O69" s="476">
        <f t="shared" si="6"/>
        <v>0</v>
      </c>
      <c r="P69" s="241"/>
    </row>
    <row r="70" spans="2:16">
      <c r="B70" s="160" t="str">
        <f t="shared" si="3"/>
        <v/>
      </c>
      <c r="C70" s="470">
        <f>IF(D11="","-",+C69+1)</f>
        <v>2067</v>
      </c>
      <c r="D70" s="483">
        <f>IF(F69+SUM(E$17:E69)=D$10,F69,D$10-SUM(E$17:E69))</f>
        <v>0</v>
      </c>
      <c r="E70" s="482">
        <f t="shared" si="21"/>
        <v>0</v>
      </c>
      <c r="F70" s="483">
        <f t="shared" si="22"/>
        <v>0</v>
      </c>
      <c r="G70" s="484">
        <f t="shared" si="23"/>
        <v>0</v>
      </c>
      <c r="H70" s="453">
        <f t="shared" si="24"/>
        <v>0</v>
      </c>
      <c r="I70" s="473">
        <f t="shared" si="4"/>
        <v>0</v>
      </c>
      <c r="J70" s="473"/>
      <c r="K70" s="485"/>
      <c r="L70" s="476">
        <f t="shared" si="25"/>
        <v>0</v>
      </c>
      <c r="M70" s="485"/>
      <c r="N70" s="476">
        <f t="shared" si="5"/>
        <v>0</v>
      </c>
      <c r="O70" s="476">
        <f t="shared" si="6"/>
        <v>0</v>
      </c>
      <c r="P70" s="241"/>
    </row>
    <row r="71" spans="2:16">
      <c r="B71" s="160" t="str">
        <f t="shared" si="3"/>
        <v/>
      </c>
      <c r="C71" s="470">
        <f>IF(D11="","-",+C70+1)</f>
        <v>2068</v>
      </c>
      <c r="D71" s="483">
        <f>IF(F70+SUM(E$17:E70)=D$10,F70,D$10-SUM(E$17:E70))</f>
        <v>0</v>
      </c>
      <c r="E71" s="482">
        <f t="shared" si="21"/>
        <v>0</v>
      </c>
      <c r="F71" s="483">
        <f t="shared" si="22"/>
        <v>0</v>
      </c>
      <c r="G71" s="484">
        <f t="shared" si="23"/>
        <v>0</v>
      </c>
      <c r="H71" s="453">
        <f t="shared" si="24"/>
        <v>0</v>
      </c>
      <c r="I71" s="473">
        <f t="shared" si="4"/>
        <v>0</v>
      </c>
      <c r="J71" s="473"/>
      <c r="K71" s="485"/>
      <c r="L71" s="476">
        <f t="shared" si="25"/>
        <v>0</v>
      </c>
      <c r="M71" s="485"/>
      <c r="N71" s="476">
        <f t="shared" si="5"/>
        <v>0</v>
      </c>
      <c r="O71" s="476">
        <f t="shared" si="6"/>
        <v>0</v>
      </c>
      <c r="P71" s="241"/>
    </row>
    <row r="72" spans="2:16" ht="13.5" thickBot="1">
      <c r="B72" s="160" t="str">
        <f t="shared" si="3"/>
        <v/>
      </c>
      <c r="C72" s="487">
        <f>IF(D11="","-",+C71+1)</f>
        <v>2069</v>
      </c>
      <c r="D72" s="488">
        <f>IF(F71+SUM(E$17:E71)=D$10,F71,D$10-SUM(E$17:E71))</f>
        <v>0</v>
      </c>
      <c r="E72" s="489">
        <f t="shared" si="21"/>
        <v>0</v>
      </c>
      <c r="F72" s="488">
        <f t="shared" si="22"/>
        <v>0</v>
      </c>
      <c r="G72" s="542">
        <f t="shared" si="23"/>
        <v>0</v>
      </c>
      <c r="H72" s="433">
        <f t="shared" si="24"/>
        <v>0</v>
      </c>
      <c r="I72" s="491">
        <f t="shared" si="4"/>
        <v>0</v>
      </c>
      <c r="J72" s="473"/>
      <c r="K72" s="492"/>
      <c r="L72" s="493">
        <f t="shared" si="25"/>
        <v>0</v>
      </c>
      <c r="M72" s="492"/>
      <c r="N72" s="493">
        <f t="shared" si="5"/>
        <v>0</v>
      </c>
      <c r="O72" s="493">
        <f t="shared" si="6"/>
        <v>0</v>
      </c>
      <c r="P72" s="241"/>
    </row>
    <row r="73" spans="2:16">
      <c r="C73" s="345" t="s">
        <v>77</v>
      </c>
      <c r="D73" s="346"/>
      <c r="E73" s="346">
        <f>SUM(E17:E72)</f>
        <v>1725647.0000000009</v>
      </c>
      <c r="F73" s="346"/>
      <c r="G73" s="346">
        <f>SUM(G17:G72)</f>
        <v>5810307.0684331506</v>
      </c>
      <c r="H73" s="346">
        <f>SUM(H17:H72)</f>
        <v>5810307.0684331506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18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191574.82976190478</v>
      </c>
      <c r="N87" s="506">
        <f>IF(J92&lt;D11,0,VLOOKUP(J92,C17:O72,11))</f>
        <v>191574.82976190478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201950.93523897958</v>
      </c>
      <c r="N88" s="510">
        <f>IF(J92&lt;D11,0,VLOOKUP(J92,C99:P154,7))</f>
        <v>201950.93523897958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Darlington-Red Rock 138 kV line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10376.105477074801</v>
      </c>
      <c r="N89" s="515">
        <f>+N88-N87</f>
        <v>10376.105477074801</v>
      </c>
      <c r="O89" s="516">
        <f>+O88-O87</f>
        <v>0</v>
      </c>
      <c r="P89" s="231"/>
    </row>
    <row r="90" spans="1:16" ht="13.5" thickBot="1">
      <c r="C90" s="494"/>
      <c r="D90" s="609" t="s">
        <v>274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TP2012112</v>
      </c>
      <c r="E91" s="520" t="str">
        <f>E9</f>
        <v xml:space="preserve">  SPP Project ID = 30746</v>
      </c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607">
        <v>1725647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f>IF(D11=I10,"",D11)</f>
        <v>2014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f>IF(D11=I10,"",D12)</f>
        <v>4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42089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2014</v>
      </c>
      <c r="D99" s="582"/>
      <c r="E99" s="583"/>
      <c r="F99" s="584"/>
      <c r="G99" s="603"/>
      <c r="H99" s="604"/>
      <c r="I99" s="605"/>
      <c r="J99" s="476">
        <v>0</v>
      </c>
      <c r="K99" s="476"/>
      <c r="L99" s="474">
        <f t="shared" ref="L99:L105" si="26">H99</f>
        <v>0</v>
      </c>
      <c r="M99" s="347">
        <f t="shared" ref="M99:M105" si="27">IF(L99&lt;&gt;0,+H99-L99,0)</f>
        <v>0</v>
      </c>
      <c r="N99" s="474">
        <f t="shared" ref="N99:N105" si="28">I99</f>
        <v>0</v>
      </c>
      <c r="O99" s="473">
        <f>IF(N99&lt;&gt;0,+I99-N99,0)</f>
        <v>0</v>
      </c>
      <c r="P99" s="476">
        <f>+O99-M99</f>
        <v>0</v>
      </c>
    </row>
    <row r="100" spans="1:16">
      <c r="B100" s="160" t="str">
        <f>IF(D100=F99,"","IU")</f>
        <v>IU</v>
      </c>
      <c r="C100" s="470">
        <f>IF(D93="","-",+C99+1)</f>
        <v>2015</v>
      </c>
      <c r="D100" s="576">
        <v>1703523.1724358976</v>
      </c>
      <c r="E100" s="577">
        <v>32760</v>
      </c>
      <c r="F100" s="576">
        <v>1670763.1724358976</v>
      </c>
      <c r="G100" s="577">
        <v>1687143.1724358976</v>
      </c>
      <c r="H100" s="600">
        <v>262957.1205792831</v>
      </c>
      <c r="I100" s="576">
        <v>262957.1205792831</v>
      </c>
      <c r="J100" s="476">
        <f>+I100-H100</f>
        <v>0</v>
      </c>
      <c r="K100" s="476"/>
      <c r="L100" s="474">
        <f t="shared" si="26"/>
        <v>262957.1205792831</v>
      </c>
      <c r="M100" s="347">
        <f t="shared" si="27"/>
        <v>0</v>
      </c>
      <c r="N100" s="474">
        <f t="shared" si="28"/>
        <v>262957.1205792831</v>
      </c>
      <c r="O100" s="473">
        <f>IF(N100&lt;&gt;0,+I100-N100,0)</f>
        <v>0</v>
      </c>
      <c r="P100" s="476">
        <f>+O100-M100</f>
        <v>0</v>
      </c>
    </row>
    <row r="101" spans="1:16">
      <c r="B101" s="160" t="str">
        <f t="shared" ref="B101:B154" si="29">IF(D101=F100,"","IU")</f>
        <v>IU</v>
      </c>
      <c r="C101" s="470">
        <f>IF(D93="","-",+C100+1)</f>
        <v>2016</v>
      </c>
      <c r="D101" s="576">
        <v>1692887</v>
      </c>
      <c r="E101" s="577">
        <v>37514</v>
      </c>
      <c r="F101" s="576">
        <v>1655373</v>
      </c>
      <c r="G101" s="577">
        <v>1674130</v>
      </c>
      <c r="H101" s="600">
        <v>250555.65084872485</v>
      </c>
      <c r="I101" s="576">
        <v>250555.65084872485</v>
      </c>
      <c r="J101" s="476">
        <f t="shared" ref="J101:J154" si="30">+I101-H101</f>
        <v>0</v>
      </c>
      <c r="K101" s="476"/>
      <c r="L101" s="474">
        <f t="shared" si="26"/>
        <v>250555.65084872485</v>
      </c>
      <c r="M101" s="347">
        <f t="shared" si="27"/>
        <v>0</v>
      </c>
      <c r="N101" s="474">
        <f t="shared" si="28"/>
        <v>250555.65084872485</v>
      </c>
      <c r="O101" s="473">
        <f>IF(N101&lt;&gt;0,+I101-N101,0)</f>
        <v>0</v>
      </c>
      <c r="P101" s="476">
        <f>+O101-M101</f>
        <v>0</v>
      </c>
    </row>
    <row r="102" spans="1:16">
      <c r="B102" s="160" t="str">
        <f t="shared" si="29"/>
        <v/>
      </c>
      <c r="C102" s="470">
        <f>IF(D93="","-",+C101+1)</f>
        <v>2017</v>
      </c>
      <c r="D102" s="576">
        <v>1655373</v>
      </c>
      <c r="E102" s="577">
        <v>37514</v>
      </c>
      <c r="F102" s="576">
        <v>1617859</v>
      </c>
      <c r="G102" s="577">
        <v>1636616</v>
      </c>
      <c r="H102" s="600">
        <v>245122.86632871011</v>
      </c>
      <c r="I102" s="576">
        <v>245122.86632871011</v>
      </c>
      <c r="J102" s="476">
        <f t="shared" si="30"/>
        <v>0</v>
      </c>
      <c r="K102" s="476"/>
      <c r="L102" s="474">
        <f t="shared" si="26"/>
        <v>245122.86632871011</v>
      </c>
      <c r="M102" s="347">
        <f t="shared" si="27"/>
        <v>0</v>
      </c>
      <c r="N102" s="474">
        <f t="shared" si="28"/>
        <v>245122.86632871011</v>
      </c>
      <c r="O102" s="473">
        <f>IF(N102&lt;&gt;0,+I102-N102,0)</f>
        <v>0</v>
      </c>
      <c r="P102" s="476">
        <f>+O102-M102</f>
        <v>0</v>
      </c>
    </row>
    <row r="103" spans="1:16">
      <c r="B103" s="160" t="str">
        <f t="shared" si="29"/>
        <v/>
      </c>
      <c r="C103" s="470">
        <f>IF(D93="","-",+C102+1)</f>
        <v>2018</v>
      </c>
      <c r="D103" s="576">
        <v>1617859</v>
      </c>
      <c r="E103" s="577">
        <v>40131</v>
      </c>
      <c r="F103" s="576">
        <v>1577728</v>
      </c>
      <c r="G103" s="577">
        <v>1597793.5</v>
      </c>
      <c r="H103" s="600">
        <v>204281.22089486517</v>
      </c>
      <c r="I103" s="576">
        <v>204281.22089486517</v>
      </c>
      <c r="J103" s="476">
        <f t="shared" si="30"/>
        <v>0</v>
      </c>
      <c r="K103" s="476"/>
      <c r="L103" s="474">
        <f t="shared" si="26"/>
        <v>204281.22089486517</v>
      </c>
      <c r="M103" s="347">
        <f t="shared" si="27"/>
        <v>0</v>
      </c>
      <c r="N103" s="474">
        <f t="shared" si="28"/>
        <v>204281.22089486517</v>
      </c>
      <c r="O103" s="473">
        <f>IF(N103&lt;&gt;0,+I103-N103,0)</f>
        <v>0</v>
      </c>
      <c r="P103" s="476">
        <f>+O103-M103</f>
        <v>0</v>
      </c>
    </row>
    <row r="104" spans="1:16">
      <c r="B104" s="160" t="str">
        <f t="shared" si="29"/>
        <v/>
      </c>
      <c r="C104" s="470">
        <f>IF(D93="","-",+C103+1)</f>
        <v>2019</v>
      </c>
      <c r="D104" s="576">
        <v>1577728</v>
      </c>
      <c r="E104" s="577">
        <v>42089</v>
      </c>
      <c r="F104" s="576">
        <v>1535639</v>
      </c>
      <c r="G104" s="577">
        <v>1556683.5</v>
      </c>
      <c r="H104" s="600">
        <v>202604.90301828689</v>
      </c>
      <c r="I104" s="576">
        <v>202604.90301828689</v>
      </c>
      <c r="J104" s="476">
        <f t="shared" si="30"/>
        <v>0</v>
      </c>
      <c r="K104" s="476"/>
      <c r="L104" s="474">
        <f t="shared" si="26"/>
        <v>202604.90301828689</v>
      </c>
      <c r="M104" s="347">
        <f t="shared" si="27"/>
        <v>0</v>
      </c>
      <c r="N104" s="474">
        <f t="shared" si="28"/>
        <v>202604.90301828689</v>
      </c>
      <c r="O104" s="476">
        <f t="shared" ref="O104:O130" si="31">IF(N104&lt;&gt;0,+I104-N104,0)</f>
        <v>0</v>
      </c>
      <c r="P104" s="476">
        <f t="shared" ref="P104:P130" si="32">+O104-M104</f>
        <v>0</v>
      </c>
    </row>
    <row r="105" spans="1:16">
      <c r="B105" s="160" t="str">
        <f t="shared" si="29"/>
        <v/>
      </c>
      <c r="C105" s="470">
        <f>IF(D93="","-",+C104+1)</f>
        <v>2020</v>
      </c>
      <c r="D105" s="576">
        <v>1535639</v>
      </c>
      <c r="E105" s="577">
        <v>40131</v>
      </c>
      <c r="F105" s="576">
        <v>1495508</v>
      </c>
      <c r="G105" s="577">
        <v>1515573.5</v>
      </c>
      <c r="H105" s="600">
        <v>214872.45782422918</v>
      </c>
      <c r="I105" s="576">
        <v>214872.45782422918</v>
      </c>
      <c r="J105" s="476">
        <f t="shared" si="30"/>
        <v>0</v>
      </c>
      <c r="K105" s="476"/>
      <c r="L105" s="474">
        <f t="shared" si="26"/>
        <v>214872.45782422918</v>
      </c>
      <c r="M105" s="347">
        <f t="shared" si="27"/>
        <v>0</v>
      </c>
      <c r="N105" s="474">
        <f t="shared" si="28"/>
        <v>214872.45782422918</v>
      </c>
      <c r="O105" s="476">
        <f t="shared" si="31"/>
        <v>0</v>
      </c>
      <c r="P105" s="476">
        <f t="shared" si="32"/>
        <v>0</v>
      </c>
    </row>
    <row r="106" spans="1:16">
      <c r="B106" s="160" t="str">
        <f t="shared" si="29"/>
        <v/>
      </c>
      <c r="C106" s="470">
        <f>IF(D93="","-",+C105+1)</f>
        <v>2021</v>
      </c>
      <c r="D106" s="576">
        <v>1495508</v>
      </c>
      <c r="E106" s="577">
        <v>42089</v>
      </c>
      <c r="F106" s="576">
        <v>1453419</v>
      </c>
      <c r="G106" s="577">
        <v>1474463.5</v>
      </c>
      <c r="H106" s="600">
        <v>209872.31988794773</v>
      </c>
      <c r="I106" s="576">
        <v>209872.31988794773</v>
      </c>
      <c r="J106" s="476">
        <f t="shared" si="30"/>
        <v>0</v>
      </c>
      <c r="K106" s="476"/>
      <c r="L106" s="474">
        <f t="shared" ref="L106" si="33">H106</f>
        <v>209872.31988794773</v>
      </c>
      <c r="M106" s="347">
        <f t="shared" ref="M106" si="34">IF(L106&lt;&gt;0,+H106-L106,0)</f>
        <v>0</v>
      </c>
      <c r="N106" s="474">
        <f t="shared" ref="N106" si="35">I106</f>
        <v>209872.31988794773</v>
      </c>
      <c r="O106" s="476">
        <f t="shared" ref="O106" si="36">IF(N106&lt;&gt;0,+I106-N106,0)</f>
        <v>0</v>
      </c>
      <c r="P106" s="476">
        <f t="shared" ref="P106" si="37">+O106-M106</f>
        <v>0</v>
      </c>
    </row>
    <row r="107" spans="1:16">
      <c r="B107" s="160" t="str">
        <f t="shared" si="29"/>
        <v/>
      </c>
      <c r="C107" s="631">
        <f>IF(D93="","-",+C106+1)</f>
        <v>2022</v>
      </c>
      <c r="D107" s="345">
        <v>1453419</v>
      </c>
      <c r="E107" s="482">
        <v>44247</v>
      </c>
      <c r="F107" s="483">
        <v>1409172</v>
      </c>
      <c r="G107" s="483">
        <v>1431295.5</v>
      </c>
      <c r="H107" s="486">
        <v>201950.93523897958</v>
      </c>
      <c r="I107" s="540">
        <v>201950.93523897958</v>
      </c>
      <c r="J107" s="476">
        <f t="shared" si="30"/>
        <v>0</v>
      </c>
      <c r="K107" s="476"/>
      <c r="L107" s="485"/>
      <c r="M107" s="476">
        <f t="shared" ref="M107:M130" si="38">IF(L107&lt;&gt;0,+H107-L107,0)</f>
        <v>0</v>
      </c>
      <c r="N107" s="485"/>
      <c r="O107" s="476">
        <f t="shared" si="31"/>
        <v>0</v>
      </c>
      <c r="P107" s="476">
        <f t="shared" si="32"/>
        <v>0</v>
      </c>
    </row>
    <row r="108" spans="1:16">
      <c r="B108" s="160" t="str">
        <f t="shared" si="29"/>
        <v/>
      </c>
      <c r="C108" s="470">
        <f>IF(D93="","-",+C107+1)</f>
        <v>2023</v>
      </c>
      <c r="D108" s="345">
        <f>IF(F107+SUM(E$99:E107)=D$92,F107,D$92-SUM(E$99:E107))</f>
        <v>1409172</v>
      </c>
      <c r="E108" s="482">
        <f t="shared" ref="E108:E154" si="39">IF(+J$96&lt;F107,J$96,D108)</f>
        <v>42089</v>
      </c>
      <c r="F108" s="483">
        <f t="shared" ref="F108:F154" si="40">+D108-E108</f>
        <v>1367083</v>
      </c>
      <c r="G108" s="483">
        <f t="shared" ref="G108:G154" si="41">+(F108+D108)/2</f>
        <v>1388127.5</v>
      </c>
      <c r="H108" s="486">
        <f t="shared" ref="H108:H154" si="42">+J$94*G108+E108</f>
        <v>200047.90530878329</v>
      </c>
      <c r="I108" s="540">
        <f t="shared" ref="I108:I154" si="43">+J$95*G108+E108</f>
        <v>200047.90530878329</v>
      </c>
      <c r="J108" s="476">
        <f t="shared" si="30"/>
        <v>0</v>
      </c>
      <c r="K108" s="476"/>
      <c r="L108" s="485"/>
      <c r="M108" s="476">
        <f t="shared" si="38"/>
        <v>0</v>
      </c>
      <c r="N108" s="485"/>
      <c r="O108" s="476">
        <f t="shared" si="31"/>
        <v>0</v>
      </c>
      <c r="P108" s="476">
        <f t="shared" si="32"/>
        <v>0</v>
      </c>
    </row>
    <row r="109" spans="1:16">
      <c r="B109" s="160" t="str">
        <f t="shared" si="29"/>
        <v/>
      </c>
      <c r="C109" s="470">
        <f>IF(D93="","-",+C108+1)</f>
        <v>2024</v>
      </c>
      <c r="D109" s="345">
        <f>IF(F108+SUM(E$99:E108)=D$92,F108,D$92-SUM(E$99:E108))</f>
        <v>1367083</v>
      </c>
      <c r="E109" s="482">
        <f t="shared" si="39"/>
        <v>42089</v>
      </c>
      <c r="F109" s="483">
        <f t="shared" si="40"/>
        <v>1324994</v>
      </c>
      <c r="G109" s="483">
        <f t="shared" si="41"/>
        <v>1346038.5</v>
      </c>
      <c r="H109" s="486">
        <f t="shared" si="42"/>
        <v>195258.48044288199</v>
      </c>
      <c r="I109" s="540">
        <f t="shared" si="43"/>
        <v>195258.48044288199</v>
      </c>
      <c r="J109" s="476">
        <f t="shared" si="30"/>
        <v>0</v>
      </c>
      <c r="K109" s="476"/>
      <c r="L109" s="485"/>
      <c r="M109" s="476">
        <f t="shared" si="38"/>
        <v>0</v>
      </c>
      <c r="N109" s="485"/>
      <c r="O109" s="476">
        <f t="shared" si="31"/>
        <v>0</v>
      </c>
      <c r="P109" s="476">
        <f t="shared" si="32"/>
        <v>0</v>
      </c>
    </row>
    <row r="110" spans="1:16">
      <c r="B110" s="160" t="str">
        <f t="shared" si="29"/>
        <v/>
      </c>
      <c r="C110" s="470">
        <f>IF(D93="","-",+C109+1)</f>
        <v>2025</v>
      </c>
      <c r="D110" s="345">
        <f>IF(F109+SUM(E$99:E109)=D$92,F109,D$92-SUM(E$99:E109))</f>
        <v>1324994</v>
      </c>
      <c r="E110" s="482">
        <f t="shared" si="39"/>
        <v>42089</v>
      </c>
      <c r="F110" s="483">
        <f t="shared" si="40"/>
        <v>1282905</v>
      </c>
      <c r="G110" s="483">
        <f t="shared" si="41"/>
        <v>1303949.5</v>
      </c>
      <c r="H110" s="486">
        <f t="shared" si="42"/>
        <v>190469.05557698073</v>
      </c>
      <c r="I110" s="540">
        <f t="shared" si="43"/>
        <v>190469.05557698073</v>
      </c>
      <c r="J110" s="476">
        <f t="shared" si="30"/>
        <v>0</v>
      </c>
      <c r="K110" s="476"/>
      <c r="L110" s="485"/>
      <c r="M110" s="476">
        <f t="shared" si="38"/>
        <v>0</v>
      </c>
      <c r="N110" s="485"/>
      <c r="O110" s="476">
        <f t="shared" si="31"/>
        <v>0</v>
      </c>
      <c r="P110" s="476">
        <f t="shared" si="32"/>
        <v>0</v>
      </c>
    </row>
    <row r="111" spans="1:16">
      <c r="B111" s="160" t="str">
        <f t="shared" si="29"/>
        <v/>
      </c>
      <c r="C111" s="470">
        <f>IF(D93="","-",+C110+1)</f>
        <v>2026</v>
      </c>
      <c r="D111" s="345">
        <f>IF(F110+SUM(E$99:E110)=D$92,F110,D$92-SUM(E$99:E110))</f>
        <v>1282905</v>
      </c>
      <c r="E111" s="482">
        <f t="shared" si="39"/>
        <v>42089</v>
      </c>
      <c r="F111" s="483">
        <f t="shared" si="40"/>
        <v>1240816</v>
      </c>
      <c r="G111" s="483">
        <f t="shared" si="41"/>
        <v>1261860.5</v>
      </c>
      <c r="H111" s="486">
        <f t="shared" si="42"/>
        <v>185679.63071107943</v>
      </c>
      <c r="I111" s="540">
        <f t="shared" si="43"/>
        <v>185679.63071107943</v>
      </c>
      <c r="J111" s="476">
        <f t="shared" si="30"/>
        <v>0</v>
      </c>
      <c r="K111" s="476"/>
      <c r="L111" s="485"/>
      <c r="M111" s="476">
        <f t="shared" si="38"/>
        <v>0</v>
      </c>
      <c r="N111" s="485"/>
      <c r="O111" s="476">
        <f t="shared" si="31"/>
        <v>0</v>
      </c>
      <c r="P111" s="476">
        <f t="shared" si="32"/>
        <v>0</v>
      </c>
    </row>
    <row r="112" spans="1:16">
      <c r="B112" s="160" t="str">
        <f t="shared" si="29"/>
        <v/>
      </c>
      <c r="C112" s="470">
        <f>IF(D93="","-",+C111+1)</f>
        <v>2027</v>
      </c>
      <c r="D112" s="345">
        <f>IF(F111+SUM(E$99:E111)=D$92,F111,D$92-SUM(E$99:E111))</f>
        <v>1240816</v>
      </c>
      <c r="E112" s="482">
        <f t="shared" si="39"/>
        <v>42089</v>
      </c>
      <c r="F112" s="483">
        <f t="shared" si="40"/>
        <v>1198727</v>
      </c>
      <c r="G112" s="483">
        <f t="shared" si="41"/>
        <v>1219771.5</v>
      </c>
      <c r="H112" s="486">
        <f t="shared" si="42"/>
        <v>180890.20584517816</v>
      </c>
      <c r="I112" s="540">
        <f t="shared" si="43"/>
        <v>180890.20584517816</v>
      </c>
      <c r="J112" s="476">
        <f t="shared" si="30"/>
        <v>0</v>
      </c>
      <c r="K112" s="476"/>
      <c r="L112" s="485"/>
      <c r="M112" s="476">
        <f t="shared" si="38"/>
        <v>0</v>
      </c>
      <c r="N112" s="485"/>
      <c r="O112" s="476">
        <f t="shared" si="31"/>
        <v>0</v>
      </c>
      <c r="P112" s="476">
        <f t="shared" si="32"/>
        <v>0</v>
      </c>
    </row>
    <row r="113" spans="2:16">
      <c r="B113" s="160" t="str">
        <f t="shared" si="29"/>
        <v/>
      </c>
      <c r="C113" s="470">
        <f>IF(D93="","-",+C112+1)</f>
        <v>2028</v>
      </c>
      <c r="D113" s="345">
        <f>IF(F112+SUM(E$99:E112)=D$92,F112,D$92-SUM(E$99:E112))</f>
        <v>1198727</v>
      </c>
      <c r="E113" s="482">
        <f t="shared" si="39"/>
        <v>42089</v>
      </c>
      <c r="F113" s="483">
        <f t="shared" si="40"/>
        <v>1156638</v>
      </c>
      <c r="G113" s="483">
        <f t="shared" si="41"/>
        <v>1177682.5</v>
      </c>
      <c r="H113" s="486">
        <f t="shared" si="42"/>
        <v>176100.78097927687</v>
      </c>
      <c r="I113" s="540">
        <f t="shared" si="43"/>
        <v>176100.78097927687</v>
      </c>
      <c r="J113" s="476">
        <f t="shared" si="30"/>
        <v>0</v>
      </c>
      <c r="K113" s="476"/>
      <c r="L113" s="485"/>
      <c r="M113" s="476">
        <f t="shared" si="38"/>
        <v>0</v>
      </c>
      <c r="N113" s="485"/>
      <c r="O113" s="476">
        <f t="shared" si="31"/>
        <v>0</v>
      </c>
      <c r="P113" s="476">
        <f t="shared" si="32"/>
        <v>0</v>
      </c>
    </row>
    <row r="114" spans="2:16">
      <c r="B114" s="160" t="str">
        <f t="shared" si="29"/>
        <v/>
      </c>
      <c r="C114" s="470">
        <f>IF(D93="","-",+C113+1)</f>
        <v>2029</v>
      </c>
      <c r="D114" s="345">
        <f>IF(F113+SUM(E$99:E113)=D$92,F113,D$92-SUM(E$99:E113))</f>
        <v>1156638</v>
      </c>
      <c r="E114" s="482">
        <f t="shared" si="39"/>
        <v>42089</v>
      </c>
      <c r="F114" s="483">
        <f t="shared" si="40"/>
        <v>1114549</v>
      </c>
      <c r="G114" s="483">
        <f t="shared" si="41"/>
        <v>1135593.5</v>
      </c>
      <c r="H114" s="486">
        <f t="shared" si="42"/>
        <v>171311.3561133756</v>
      </c>
      <c r="I114" s="540">
        <f t="shared" si="43"/>
        <v>171311.3561133756</v>
      </c>
      <c r="J114" s="476">
        <f t="shared" si="30"/>
        <v>0</v>
      </c>
      <c r="K114" s="476"/>
      <c r="L114" s="485"/>
      <c r="M114" s="476">
        <f t="shared" si="38"/>
        <v>0</v>
      </c>
      <c r="N114" s="485"/>
      <c r="O114" s="476">
        <f t="shared" si="31"/>
        <v>0</v>
      </c>
      <c r="P114" s="476">
        <f t="shared" si="32"/>
        <v>0</v>
      </c>
    </row>
    <row r="115" spans="2:16">
      <c r="B115" s="160" t="str">
        <f t="shared" si="29"/>
        <v/>
      </c>
      <c r="C115" s="470">
        <f>IF(D93="","-",+C114+1)</f>
        <v>2030</v>
      </c>
      <c r="D115" s="345">
        <f>IF(F114+SUM(E$99:E114)=D$92,F114,D$92-SUM(E$99:E114))</f>
        <v>1114549</v>
      </c>
      <c r="E115" s="482">
        <f t="shared" si="39"/>
        <v>42089</v>
      </c>
      <c r="F115" s="483">
        <f t="shared" si="40"/>
        <v>1072460</v>
      </c>
      <c r="G115" s="483">
        <f t="shared" si="41"/>
        <v>1093504.5</v>
      </c>
      <c r="H115" s="486">
        <f t="shared" si="42"/>
        <v>166521.93124747433</v>
      </c>
      <c r="I115" s="540">
        <f t="shared" si="43"/>
        <v>166521.93124747433</v>
      </c>
      <c r="J115" s="476">
        <f t="shared" si="30"/>
        <v>0</v>
      </c>
      <c r="K115" s="476"/>
      <c r="L115" s="485"/>
      <c r="M115" s="476">
        <f t="shared" si="38"/>
        <v>0</v>
      </c>
      <c r="N115" s="485"/>
      <c r="O115" s="476">
        <f t="shared" si="31"/>
        <v>0</v>
      </c>
      <c r="P115" s="476">
        <f t="shared" si="32"/>
        <v>0</v>
      </c>
    </row>
    <row r="116" spans="2:16">
      <c r="B116" s="160" t="str">
        <f t="shared" si="29"/>
        <v/>
      </c>
      <c r="C116" s="470">
        <f>IF(D93="","-",+C115+1)</f>
        <v>2031</v>
      </c>
      <c r="D116" s="345">
        <f>IF(F115+SUM(E$99:E115)=D$92,F115,D$92-SUM(E$99:E115))</f>
        <v>1072460</v>
      </c>
      <c r="E116" s="482">
        <f t="shared" si="39"/>
        <v>42089</v>
      </c>
      <c r="F116" s="483">
        <f t="shared" si="40"/>
        <v>1030371</v>
      </c>
      <c r="G116" s="483">
        <f t="shared" si="41"/>
        <v>1051415.5</v>
      </c>
      <c r="H116" s="486">
        <f t="shared" si="42"/>
        <v>161732.50638157304</v>
      </c>
      <c r="I116" s="540">
        <f t="shared" si="43"/>
        <v>161732.50638157304</v>
      </c>
      <c r="J116" s="476">
        <f t="shared" si="30"/>
        <v>0</v>
      </c>
      <c r="K116" s="476"/>
      <c r="L116" s="485"/>
      <c r="M116" s="476">
        <f t="shared" si="38"/>
        <v>0</v>
      </c>
      <c r="N116" s="485"/>
      <c r="O116" s="476">
        <f t="shared" si="31"/>
        <v>0</v>
      </c>
      <c r="P116" s="476">
        <f t="shared" si="32"/>
        <v>0</v>
      </c>
    </row>
    <row r="117" spans="2:16">
      <c r="B117" s="160" t="str">
        <f t="shared" si="29"/>
        <v/>
      </c>
      <c r="C117" s="470">
        <f>IF(D93="","-",+C116+1)</f>
        <v>2032</v>
      </c>
      <c r="D117" s="345">
        <f>IF(F116+SUM(E$99:E116)=D$92,F116,D$92-SUM(E$99:E116))</f>
        <v>1030371</v>
      </c>
      <c r="E117" s="482">
        <f t="shared" si="39"/>
        <v>42089</v>
      </c>
      <c r="F117" s="483">
        <f t="shared" si="40"/>
        <v>988282</v>
      </c>
      <c r="G117" s="483">
        <f t="shared" si="41"/>
        <v>1009326.5</v>
      </c>
      <c r="H117" s="486">
        <f t="shared" si="42"/>
        <v>156943.08151567174</v>
      </c>
      <c r="I117" s="540">
        <f t="shared" si="43"/>
        <v>156943.08151567174</v>
      </c>
      <c r="J117" s="476">
        <f t="shared" si="30"/>
        <v>0</v>
      </c>
      <c r="K117" s="476"/>
      <c r="L117" s="485"/>
      <c r="M117" s="476">
        <f t="shared" si="38"/>
        <v>0</v>
      </c>
      <c r="N117" s="485"/>
      <c r="O117" s="476">
        <f t="shared" si="31"/>
        <v>0</v>
      </c>
      <c r="P117" s="476">
        <f t="shared" si="32"/>
        <v>0</v>
      </c>
    </row>
    <row r="118" spans="2:16">
      <c r="B118" s="160" t="str">
        <f t="shared" si="29"/>
        <v/>
      </c>
      <c r="C118" s="470">
        <f>IF(D93="","-",+C117+1)</f>
        <v>2033</v>
      </c>
      <c r="D118" s="345">
        <f>IF(F117+SUM(E$99:E117)=D$92,F117,D$92-SUM(E$99:E117))</f>
        <v>988282</v>
      </c>
      <c r="E118" s="482">
        <f t="shared" si="39"/>
        <v>42089</v>
      </c>
      <c r="F118" s="483">
        <f t="shared" si="40"/>
        <v>946193</v>
      </c>
      <c r="G118" s="483">
        <f t="shared" si="41"/>
        <v>967237.5</v>
      </c>
      <c r="H118" s="486">
        <f t="shared" si="42"/>
        <v>152153.65664977048</v>
      </c>
      <c r="I118" s="540">
        <f t="shared" si="43"/>
        <v>152153.65664977048</v>
      </c>
      <c r="J118" s="476">
        <f t="shared" si="30"/>
        <v>0</v>
      </c>
      <c r="K118" s="476"/>
      <c r="L118" s="485"/>
      <c r="M118" s="476">
        <f t="shared" si="38"/>
        <v>0</v>
      </c>
      <c r="N118" s="485"/>
      <c r="O118" s="476">
        <f t="shared" si="31"/>
        <v>0</v>
      </c>
      <c r="P118" s="476">
        <f t="shared" si="32"/>
        <v>0</v>
      </c>
    </row>
    <row r="119" spans="2:16">
      <c r="B119" s="160" t="str">
        <f t="shared" si="29"/>
        <v/>
      </c>
      <c r="C119" s="470">
        <f>IF(D93="","-",+C118+1)</f>
        <v>2034</v>
      </c>
      <c r="D119" s="345">
        <f>IF(F118+SUM(E$99:E118)=D$92,F118,D$92-SUM(E$99:E118))</f>
        <v>946193</v>
      </c>
      <c r="E119" s="482">
        <f t="shared" si="39"/>
        <v>42089</v>
      </c>
      <c r="F119" s="483">
        <f t="shared" si="40"/>
        <v>904104</v>
      </c>
      <c r="G119" s="483">
        <f t="shared" si="41"/>
        <v>925148.5</v>
      </c>
      <c r="H119" s="486">
        <f t="shared" si="42"/>
        <v>147364.23178386921</v>
      </c>
      <c r="I119" s="540">
        <f t="shared" si="43"/>
        <v>147364.23178386921</v>
      </c>
      <c r="J119" s="476">
        <f t="shared" si="30"/>
        <v>0</v>
      </c>
      <c r="K119" s="476"/>
      <c r="L119" s="485"/>
      <c r="M119" s="476">
        <f t="shared" si="38"/>
        <v>0</v>
      </c>
      <c r="N119" s="485"/>
      <c r="O119" s="476">
        <f t="shared" si="31"/>
        <v>0</v>
      </c>
      <c r="P119" s="476">
        <f t="shared" si="32"/>
        <v>0</v>
      </c>
    </row>
    <row r="120" spans="2:16">
      <c r="B120" s="160" t="str">
        <f t="shared" si="29"/>
        <v/>
      </c>
      <c r="C120" s="470">
        <f>IF(D93="","-",+C119+1)</f>
        <v>2035</v>
      </c>
      <c r="D120" s="345">
        <f>IF(F119+SUM(E$99:E119)=D$92,F119,D$92-SUM(E$99:E119))</f>
        <v>904104</v>
      </c>
      <c r="E120" s="482">
        <f t="shared" si="39"/>
        <v>42089</v>
      </c>
      <c r="F120" s="483">
        <f t="shared" si="40"/>
        <v>862015</v>
      </c>
      <c r="G120" s="483">
        <f t="shared" si="41"/>
        <v>883059.5</v>
      </c>
      <c r="H120" s="486">
        <f t="shared" si="42"/>
        <v>142574.80691796792</v>
      </c>
      <c r="I120" s="540">
        <f t="shared" si="43"/>
        <v>142574.80691796792</v>
      </c>
      <c r="J120" s="476">
        <f t="shared" si="30"/>
        <v>0</v>
      </c>
      <c r="K120" s="476"/>
      <c r="L120" s="485"/>
      <c r="M120" s="476">
        <f t="shared" si="38"/>
        <v>0</v>
      </c>
      <c r="N120" s="485"/>
      <c r="O120" s="476">
        <f t="shared" si="31"/>
        <v>0</v>
      </c>
      <c r="P120" s="476">
        <f t="shared" si="32"/>
        <v>0</v>
      </c>
    </row>
    <row r="121" spans="2:16">
      <c r="B121" s="160" t="str">
        <f t="shared" si="29"/>
        <v/>
      </c>
      <c r="C121" s="470">
        <f>IF(D93="","-",+C120+1)</f>
        <v>2036</v>
      </c>
      <c r="D121" s="345">
        <f>IF(F120+SUM(E$99:E120)=D$92,F120,D$92-SUM(E$99:E120))</f>
        <v>862015</v>
      </c>
      <c r="E121" s="482">
        <f t="shared" si="39"/>
        <v>42089</v>
      </c>
      <c r="F121" s="483">
        <f t="shared" si="40"/>
        <v>819926</v>
      </c>
      <c r="G121" s="483">
        <f t="shared" si="41"/>
        <v>840970.5</v>
      </c>
      <c r="H121" s="486">
        <f t="shared" si="42"/>
        <v>137785.38205206662</v>
      </c>
      <c r="I121" s="540">
        <f t="shared" si="43"/>
        <v>137785.38205206662</v>
      </c>
      <c r="J121" s="476">
        <f t="shared" si="30"/>
        <v>0</v>
      </c>
      <c r="K121" s="476"/>
      <c r="L121" s="485"/>
      <c r="M121" s="476">
        <f t="shared" si="38"/>
        <v>0</v>
      </c>
      <c r="N121" s="485"/>
      <c r="O121" s="476">
        <f t="shared" si="31"/>
        <v>0</v>
      </c>
      <c r="P121" s="476">
        <f t="shared" si="32"/>
        <v>0</v>
      </c>
    </row>
    <row r="122" spans="2:16">
      <c r="B122" s="160" t="str">
        <f t="shared" si="29"/>
        <v/>
      </c>
      <c r="C122" s="470">
        <f>IF(D93="","-",+C121+1)</f>
        <v>2037</v>
      </c>
      <c r="D122" s="345">
        <f>IF(F121+SUM(E$99:E121)=D$92,F121,D$92-SUM(E$99:E121))</f>
        <v>819926</v>
      </c>
      <c r="E122" s="482">
        <f t="shared" si="39"/>
        <v>42089</v>
      </c>
      <c r="F122" s="483">
        <f t="shared" si="40"/>
        <v>777837</v>
      </c>
      <c r="G122" s="483">
        <f t="shared" si="41"/>
        <v>798881.5</v>
      </c>
      <c r="H122" s="486">
        <f t="shared" si="42"/>
        <v>132995.95718616535</v>
      </c>
      <c r="I122" s="540">
        <f t="shared" si="43"/>
        <v>132995.95718616535</v>
      </c>
      <c r="J122" s="476">
        <f t="shared" si="30"/>
        <v>0</v>
      </c>
      <c r="K122" s="476"/>
      <c r="L122" s="485"/>
      <c r="M122" s="476">
        <f t="shared" si="38"/>
        <v>0</v>
      </c>
      <c r="N122" s="485"/>
      <c r="O122" s="476">
        <f t="shared" si="31"/>
        <v>0</v>
      </c>
      <c r="P122" s="476">
        <f t="shared" si="32"/>
        <v>0</v>
      </c>
    </row>
    <row r="123" spans="2:16">
      <c r="B123" s="160" t="str">
        <f t="shared" si="29"/>
        <v/>
      </c>
      <c r="C123" s="470">
        <f>IF(D93="","-",+C122+1)</f>
        <v>2038</v>
      </c>
      <c r="D123" s="345">
        <f>IF(F122+SUM(E$99:E122)=D$92,F122,D$92-SUM(E$99:E122))</f>
        <v>777837</v>
      </c>
      <c r="E123" s="482">
        <f t="shared" si="39"/>
        <v>42089</v>
      </c>
      <c r="F123" s="483">
        <f t="shared" si="40"/>
        <v>735748</v>
      </c>
      <c r="G123" s="483">
        <f t="shared" si="41"/>
        <v>756792.5</v>
      </c>
      <c r="H123" s="486">
        <f t="shared" si="42"/>
        <v>128206.53232026407</v>
      </c>
      <c r="I123" s="540">
        <f t="shared" si="43"/>
        <v>128206.53232026407</v>
      </c>
      <c r="J123" s="476">
        <f t="shared" si="30"/>
        <v>0</v>
      </c>
      <c r="K123" s="476"/>
      <c r="L123" s="485"/>
      <c r="M123" s="476">
        <f t="shared" si="38"/>
        <v>0</v>
      </c>
      <c r="N123" s="485"/>
      <c r="O123" s="476">
        <f t="shared" si="31"/>
        <v>0</v>
      </c>
      <c r="P123" s="476">
        <f t="shared" si="32"/>
        <v>0</v>
      </c>
    </row>
    <row r="124" spans="2:16">
      <c r="B124" s="160" t="str">
        <f t="shared" si="29"/>
        <v/>
      </c>
      <c r="C124" s="470">
        <f>IF(D93="","-",+C123+1)</f>
        <v>2039</v>
      </c>
      <c r="D124" s="345">
        <f>IF(F123+SUM(E$99:E123)=D$92,F123,D$92-SUM(E$99:E123))</f>
        <v>735748</v>
      </c>
      <c r="E124" s="482">
        <f t="shared" si="39"/>
        <v>42089</v>
      </c>
      <c r="F124" s="483">
        <f t="shared" si="40"/>
        <v>693659</v>
      </c>
      <c r="G124" s="483">
        <f t="shared" si="41"/>
        <v>714703.5</v>
      </c>
      <c r="H124" s="486">
        <f t="shared" si="42"/>
        <v>123417.10745436279</v>
      </c>
      <c r="I124" s="540">
        <f t="shared" si="43"/>
        <v>123417.10745436279</v>
      </c>
      <c r="J124" s="476">
        <f t="shared" si="30"/>
        <v>0</v>
      </c>
      <c r="K124" s="476"/>
      <c r="L124" s="485"/>
      <c r="M124" s="476">
        <f t="shared" si="38"/>
        <v>0</v>
      </c>
      <c r="N124" s="485"/>
      <c r="O124" s="476">
        <f t="shared" si="31"/>
        <v>0</v>
      </c>
      <c r="P124" s="476">
        <f t="shared" si="32"/>
        <v>0</v>
      </c>
    </row>
    <row r="125" spans="2:16">
      <c r="B125" s="160" t="str">
        <f t="shared" si="29"/>
        <v/>
      </c>
      <c r="C125" s="470">
        <f>IF(D93="","-",+C124+1)</f>
        <v>2040</v>
      </c>
      <c r="D125" s="345">
        <f>IF(F124+SUM(E$99:E124)=D$92,F124,D$92-SUM(E$99:E124))</f>
        <v>693659</v>
      </c>
      <c r="E125" s="482">
        <f t="shared" si="39"/>
        <v>42089</v>
      </c>
      <c r="F125" s="483">
        <f t="shared" si="40"/>
        <v>651570</v>
      </c>
      <c r="G125" s="483">
        <f t="shared" si="41"/>
        <v>672614.5</v>
      </c>
      <c r="H125" s="486">
        <f t="shared" si="42"/>
        <v>118627.68258846151</v>
      </c>
      <c r="I125" s="540">
        <f t="shared" si="43"/>
        <v>118627.68258846151</v>
      </c>
      <c r="J125" s="476">
        <f t="shared" si="30"/>
        <v>0</v>
      </c>
      <c r="K125" s="476"/>
      <c r="L125" s="485"/>
      <c r="M125" s="476">
        <f t="shared" si="38"/>
        <v>0</v>
      </c>
      <c r="N125" s="485"/>
      <c r="O125" s="476">
        <f t="shared" si="31"/>
        <v>0</v>
      </c>
      <c r="P125" s="476">
        <f t="shared" si="32"/>
        <v>0</v>
      </c>
    </row>
    <row r="126" spans="2:16">
      <c r="B126" s="160" t="str">
        <f t="shared" si="29"/>
        <v/>
      </c>
      <c r="C126" s="470">
        <f>IF(D93="","-",+C125+1)</f>
        <v>2041</v>
      </c>
      <c r="D126" s="345">
        <f>IF(F125+SUM(E$99:E125)=D$92,F125,D$92-SUM(E$99:E125))</f>
        <v>651570</v>
      </c>
      <c r="E126" s="482">
        <f t="shared" si="39"/>
        <v>42089</v>
      </c>
      <c r="F126" s="483">
        <f t="shared" si="40"/>
        <v>609481</v>
      </c>
      <c r="G126" s="483">
        <f t="shared" si="41"/>
        <v>630525.5</v>
      </c>
      <c r="H126" s="486">
        <f t="shared" si="42"/>
        <v>113838.25772256023</v>
      </c>
      <c r="I126" s="540">
        <f t="shared" si="43"/>
        <v>113838.25772256023</v>
      </c>
      <c r="J126" s="476">
        <f t="shared" si="30"/>
        <v>0</v>
      </c>
      <c r="K126" s="476"/>
      <c r="L126" s="485"/>
      <c r="M126" s="476">
        <f t="shared" si="38"/>
        <v>0</v>
      </c>
      <c r="N126" s="485"/>
      <c r="O126" s="476">
        <f t="shared" si="31"/>
        <v>0</v>
      </c>
      <c r="P126" s="476">
        <f t="shared" si="32"/>
        <v>0</v>
      </c>
    </row>
    <row r="127" spans="2:16">
      <c r="B127" s="160" t="str">
        <f t="shared" si="29"/>
        <v/>
      </c>
      <c r="C127" s="470">
        <f>IF(D93="","-",+C126+1)</f>
        <v>2042</v>
      </c>
      <c r="D127" s="345">
        <f>IF(F126+SUM(E$99:E126)=D$92,F126,D$92-SUM(E$99:E126))</f>
        <v>609481</v>
      </c>
      <c r="E127" s="482">
        <f t="shared" si="39"/>
        <v>42089</v>
      </c>
      <c r="F127" s="483">
        <f t="shared" si="40"/>
        <v>567392</v>
      </c>
      <c r="G127" s="483">
        <f t="shared" si="41"/>
        <v>588436.5</v>
      </c>
      <c r="H127" s="486">
        <f t="shared" si="42"/>
        <v>109048.83285665895</v>
      </c>
      <c r="I127" s="540">
        <f t="shared" si="43"/>
        <v>109048.83285665895</v>
      </c>
      <c r="J127" s="476">
        <f t="shared" si="30"/>
        <v>0</v>
      </c>
      <c r="K127" s="476"/>
      <c r="L127" s="485"/>
      <c r="M127" s="476">
        <f t="shared" si="38"/>
        <v>0</v>
      </c>
      <c r="N127" s="485"/>
      <c r="O127" s="476">
        <f t="shared" si="31"/>
        <v>0</v>
      </c>
      <c r="P127" s="476">
        <f t="shared" si="32"/>
        <v>0</v>
      </c>
    </row>
    <row r="128" spans="2:16">
      <c r="B128" s="160" t="str">
        <f t="shared" si="29"/>
        <v/>
      </c>
      <c r="C128" s="470">
        <f>IF(D93="","-",+C127+1)</f>
        <v>2043</v>
      </c>
      <c r="D128" s="345">
        <f>IF(F127+SUM(E$99:E127)=D$92,F127,D$92-SUM(E$99:E127))</f>
        <v>567392</v>
      </c>
      <c r="E128" s="482">
        <f t="shared" si="39"/>
        <v>42089</v>
      </c>
      <c r="F128" s="483">
        <f t="shared" si="40"/>
        <v>525303</v>
      </c>
      <c r="G128" s="483">
        <f t="shared" si="41"/>
        <v>546347.5</v>
      </c>
      <c r="H128" s="486">
        <f t="shared" si="42"/>
        <v>104259.40799075767</v>
      </c>
      <c r="I128" s="540">
        <f t="shared" si="43"/>
        <v>104259.40799075767</v>
      </c>
      <c r="J128" s="476">
        <f t="shared" si="30"/>
        <v>0</v>
      </c>
      <c r="K128" s="476"/>
      <c r="L128" s="485"/>
      <c r="M128" s="476">
        <f t="shared" si="38"/>
        <v>0</v>
      </c>
      <c r="N128" s="485"/>
      <c r="O128" s="476">
        <f t="shared" si="31"/>
        <v>0</v>
      </c>
      <c r="P128" s="476">
        <f t="shared" si="32"/>
        <v>0</v>
      </c>
    </row>
    <row r="129" spans="2:16">
      <c r="B129" s="160" t="str">
        <f t="shared" si="29"/>
        <v/>
      </c>
      <c r="C129" s="470">
        <f>IF(D93="","-",+C128+1)</f>
        <v>2044</v>
      </c>
      <c r="D129" s="345">
        <f>IF(F128+SUM(E$99:E128)=D$92,F128,D$92-SUM(E$99:E128))</f>
        <v>525303</v>
      </c>
      <c r="E129" s="482">
        <f t="shared" si="39"/>
        <v>42089</v>
      </c>
      <c r="F129" s="483">
        <f t="shared" si="40"/>
        <v>483214</v>
      </c>
      <c r="G129" s="483">
        <f t="shared" si="41"/>
        <v>504258.5</v>
      </c>
      <c r="H129" s="486">
        <f t="shared" si="42"/>
        <v>99469.983124856401</v>
      </c>
      <c r="I129" s="540">
        <f t="shared" si="43"/>
        <v>99469.983124856401</v>
      </c>
      <c r="J129" s="476">
        <f t="shared" si="30"/>
        <v>0</v>
      </c>
      <c r="K129" s="476"/>
      <c r="L129" s="485"/>
      <c r="M129" s="476">
        <f t="shared" si="38"/>
        <v>0</v>
      </c>
      <c r="N129" s="485"/>
      <c r="O129" s="476">
        <f t="shared" si="31"/>
        <v>0</v>
      </c>
      <c r="P129" s="476">
        <f t="shared" si="32"/>
        <v>0</v>
      </c>
    </row>
    <row r="130" spans="2:16">
      <c r="B130" s="160" t="str">
        <f t="shared" si="29"/>
        <v/>
      </c>
      <c r="C130" s="470">
        <f>IF(D93="","-",+C129+1)</f>
        <v>2045</v>
      </c>
      <c r="D130" s="345">
        <f>IF(F129+SUM(E$99:E129)=D$92,F129,D$92-SUM(E$99:E129))</f>
        <v>483214</v>
      </c>
      <c r="E130" s="482">
        <f t="shared" si="39"/>
        <v>42089</v>
      </c>
      <c r="F130" s="483">
        <f t="shared" si="40"/>
        <v>441125</v>
      </c>
      <c r="G130" s="483">
        <f t="shared" si="41"/>
        <v>462169.5</v>
      </c>
      <c r="H130" s="486">
        <f t="shared" si="42"/>
        <v>94680.558258955105</v>
      </c>
      <c r="I130" s="540">
        <f t="shared" si="43"/>
        <v>94680.558258955105</v>
      </c>
      <c r="J130" s="476">
        <f t="shared" si="30"/>
        <v>0</v>
      </c>
      <c r="K130" s="476"/>
      <c r="L130" s="485"/>
      <c r="M130" s="476">
        <f t="shared" si="38"/>
        <v>0</v>
      </c>
      <c r="N130" s="485"/>
      <c r="O130" s="476">
        <f t="shared" si="31"/>
        <v>0</v>
      </c>
      <c r="P130" s="476">
        <f t="shared" si="32"/>
        <v>0</v>
      </c>
    </row>
    <row r="131" spans="2:16">
      <c r="B131" s="160" t="str">
        <f t="shared" si="29"/>
        <v/>
      </c>
      <c r="C131" s="470">
        <f>IF(D93="","-",+C130+1)</f>
        <v>2046</v>
      </c>
      <c r="D131" s="345">
        <f>IF(F130+SUM(E$99:E130)=D$92,F130,D$92-SUM(E$99:E130))</f>
        <v>441125</v>
      </c>
      <c r="E131" s="482">
        <f t="shared" si="39"/>
        <v>42089</v>
      </c>
      <c r="F131" s="483">
        <f t="shared" si="40"/>
        <v>399036</v>
      </c>
      <c r="G131" s="483">
        <f t="shared" si="41"/>
        <v>420080.5</v>
      </c>
      <c r="H131" s="486">
        <f t="shared" si="42"/>
        <v>89891.133393053839</v>
      </c>
      <c r="I131" s="540">
        <f t="shared" si="43"/>
        <v>89891.133393053839</v>
      </c>
      <c r="J131" s="476">
        <f t="shared" si="30"/>
        <v>0</v>
      </c>
      <c r="K131" s="476"/>
      <c r="L131" s="485"/>
      <c r="M131" s="476">
        <f t="shared" ref="M131:M154" si="44">IF(L541&lt;&gt;0,+H541-L541,0)</f>
        <v>0</v>
      </c>
      <c r="N131" s="485"/>
      <c r="O131" s="476">
        <f t="shared" ref="O131:O154" si="45">IF(N541&lt;&gt;0,+I541-N541,0)</f>
        <v>0</v>
      </c>
      <c r="P131" s="476">
        <f t="shared" ref="P131:P154" si="46">+O541-M541</f>
        <v>0</v>
      </c>
    </row>
    <row r="132" spans="2:16">
      <c r="B132" s="160" t="str">
        <f t="shared" si="29"/>
        <v/>
      </c>
      <c r="C132" s="470">
        <f>IF(D93="","-",+C131+1)</f>
        <v>2047</v>
      </c>
      <c r="D132" s="345">
        <f>IF(F131+SUM(E$99:E131)=D$92,F131,D$92-SUM(E$99:E131))</f>
        <v>399036</v>
      </c>
      <c r="E132" s="482">
        <f t="shared" si="39"/>
        <v>42089</v>
      </c>
      <c r="F132" s="483">
        <f t="shared" si="40"/>
        <v>356947</v>
      </c>
      <c r="G132" s="483">
        <f t="shared" si="41"/>
        <v>377991.5</v>
      </c>
      <c r="H132" s="486">
        <f t="shared" si="42"/>
        <v>85101.708527152543</v>
      </c>
      <c r="I132" s="540">
        <f t="shared" si="43"/>
        <v>85101.708527152543</v>
      </c>
      <c r="J132" s="476">
        <f t="shared" si="30"/>
        <v>0</v>
      </c>
      <c r="K132" s="476"/>
      <c r="L132" s="485"/>
      <c r="M132" s="476">
        <f t="shared" si="44"/>
        <v>0</v>
      </c>
      <c r="N132" s="485"/>
      <c r="O132" s="476">
        <f t="shared" si="45"/>
        <v>0</v>
      </c>
      <c r="P132" s="476">
        <f t="shared" si="46"/>
        <v>0</v>
      </c>
    </row>
    <row r="133" spans="2:16">
      <c r="B133" s="160" t="str">
        <f t="shared" si="29"/>
        <v/>
      </c>
      <c r="C133" s="470">
        <f>IF(D93="","-",+C132+1)</f>
        <v>2048</v>
      </c>
      <c r="D133" s="345">
        <f>IF(F132+SUM(E$99:E132)=D$92,F132,D$92-SUM(E$99:E132))</f>
        <v>356947</v>
      </c>
      <c r="E133" s="482">
        <f t="shared" si="39"/>
        <v>42089</v>
      </c>
      <c r="F133" s="483">
        <f t="shared" si="40"/>
        <v>314858</v>
      </c>
      <c r="G133" s="483">
        <f t="shared" si="41"/>
        <v>335902.5</v>
      </c>
      <c r="H133" s="486">
        <f t="shared" si="42"/>
        <v>80312.283661251276</v>
      </c>
      <c r="I133" s="540">
        <f t="shared" si="43"/>
        <v>80312.283661251276</v>
      </c>
      <c r="J133" s="476">
        <f t="shared" si="30"/>
        <v>0</v>
      </c>
      <c r="K133" s="476"/>
      <c r="L133" s="485"/>
      <c r="M133" s="476">
        <f t="shared" si="44"/>
        <v>0</v>
      </c>
      <c r="N133" s="485"/>
      <c r="O133" s="476">
        <f t="shared" si="45"/>
        <v>0</v>
      </c>
      <c r="P133" s="476">
        <f t="shared" si="46"/>
        <v>0</v>
      </c>
    </row>
    <row r="134" spans="2:16">
      <c r="B134" s="160" t="str">
        <f t="shared" si="29"/>
        <v/>
      </c>
      <c r="C134" s="470">
        <f>IF(D93="","-",+C133+1)</f>
        <v>2049</v>
      </c>
      <c r="D134" s="345">
        <f>IF(F133+SUM(E$99:E133)=D$92,F133,D$92-SUM(E$99:E133))</f>
        <v>314858</v>
      </c>
      <c r="E134" s="482">
        <f t="shared" si="39"/>
        <v>42089</v>
      </c>
      <c r="F134" s="483">
        <f t="shared" si="40"/>
        <v>272769</v>
      </c>
      <c r="G134" s="483">
        <f t="shared" si="41"/>
        <v>293813.5</v>
      </c>
      <c r="H134" s="486">
        <f t="shared" si="42"/>
        <v>75522.858795349981</v>
      </c>
      <c r="I134" s="540">
        <f t="shared" si="43"/>
        <v>75522.858795349981</v>
      </c>
      <c r="J134" s="476">
        <f t="shared" si="30"/>
        <v>0</v>
      </c>
      <c r="K134" s="476"/>
      <c r="L134" s="485"/>
      <c r="M134" s="476">
        <f t="shared" si="44"/>
        <v>0</v>
      </c>
      <c r="N134" s="485"/>
      <c r="O134" s="476">
        <f t="shared" si="45"/>
        <v>0</v>
      </c>
      <c r="P134" s="476">
        <f t="shared" si="46"/>
        <v>0</v>
      </c>
    </row>
    <row r="135" spans="2:16">
      <c r="B135" s="160" t="str">
        <f t="shared" si="29"/>
        <v/>
      </c>
      <c r="C135" s="470">
        <f>IF(D93="","-",+C134+1)</f>
        <v>2050</v>
      </c>
      <c r="D135" s="345">
        <f>IF(F134+SUM(E$99:E134)=D$92,F134,D$92-SUM(E$99:E134))</f>
        <v>272769</v>
      </c>
      <c r="E135" s="482">
        <f t="shared" si="39"/>
        <v>42089</v>
      </c>
      <c r="F135" s="483">
        <f t="shared" si="40"/>
        <v>230680</v>
      </c>
      <c r="G135" s="483">
        <f t="shared" si="41"/>
        <v>251724.5</v>
      </c>
      <c r="H135" s="486">
        <f t="shared" si="42"/>
        <v>70733.433929448714</v>
      </c>
      <c r="I135" s="540">
        <f t="shared" si="43"/>
        <v>70733.433929448714</v>
      </c>
      <c r="J135" s="476">
        <f t="shared" si="30"/>
        <v>0</v>
      </c>
      <c r="K135" s="476"/>
      <c r="L135" s="485"/>
      <c r="M135" s="476">
        <f t="shared" si="44"/>
        <v>0</v>
      </c>
      <c r="N135" s="485"/>
      <c r="O135" s="476">
        <f t="shared" si="45"/>
        <v>0</v>
      </c>
      <c r="P135" s="476">
        <f t="shared" si="46"/>
        <v>0</v>
      </c>
    </row>
    <row r="136" spans="2:16">
      <c r="B136" s="160" t="str">
        <f t="shared" si="29"/>
        <v/>
      </c>
      <c r="C136" s="470">
        <f>IF(D93="","-",+C135+1)</f>
        <v>2051</v>
      </c>
      <c r="D136" s="345">
        <f>IF(F135+SUM(E$99:E135)=D$92,F135,D$92-SUM(E$99:E135))</f>
        <v>230680</v>
      </c>
      <c r="E136" s="482">
        <f t="shared" si="39"/>
        <v>42089</v>
      </c>
      <c r="F136" s="483">
        <f t="shared" si="40"/>
        <v>188591</v>
      </c>
      <c r="G136" s="483">
        <f t="shared" si="41"/>
        <v>209635.5</v>
      </c>
      <c r="H136" s="486">
        <f t="shared" si="42"/>
        <v>65944.009063547433</v>
      </c>
      <c r="I136" s="540">
        <f t="shared" si="43"/>
        <v>65944.009063547433</v>
      </c>
      <c r="J136" s="476">
        <f t="shared" si="30"/>
        <v>0</v>
      </c>
      <c r="K136" s="476"/>
      <c r="L136" s="485"/>
      <c r="M136" s="476">
        <f t="shared" si="44"/>
        <v>0</v>
      </c>
      <c r="N136" s="485"/>
      <c r="O136" s="476">
        <f t="shared" si="45"/>
        <v>0</v>
      </c>
      <c r="P136" s="476">
        <f t="shared" si="46"/>
        <v>0</v>
      </c>
    </row>
    <row r="137" spans="2:16">
      <c r="B137" s="160" t="str">
        <f t="shared" si="29"/>
        <v/>
      </c>
      <c r="C137" s="470">
        <f>IF(D93="","-",+C136+1)</f>
        <v>2052</v>
      </c>
      <c r="D137" s="345">
        <f>IF(F136+SUM(E$99:E136)=D$92,F136,D$92-SUM(E$99:E136))</f>
        <v>188591</v>
      </c>
      <c r="E137" s="482">
        <f t="shared" si="39"/>
        <v>42089</v>
      </c>
      <c r="F137" s="483">
        <f t="shared" si="40"/>
        <v>146502</v>
      </c>
      <c r="G137" s="483">
        <f t="shared" si="41"/>
        <v>167546.5</v>
      </c>
      <c r="H137" s="486">
        <f t="shared" si="42"/>
        <v>61154.584197646152</v>
      </c>
      <c r="I137" s="540">
        <f t="shared" si="43"/>
        <v>61154.584197646152</v>
      </c>
      <c r="J137" s="476">
        <f t="shared" si="30"/>
        <v>0</v>
      </c>
      <c r="K137" s="476"/>
      <c r="L137" s="485"/>
      <c r="M137" s="476">
        <f t="shared" si="44"/>
        <v>0</v>
      </c>
      <c r="N137" s="485"/>
      <c r="O137" s="476">
        <f t="shared" si="45"/>
        <v>0</v>
      </c>
      <c r="P137" s="476">
        <f t="shared" si="46"/>
        <v>0</v>
      </c>
    </row>
    <row r="138" spans="2:16">
      <c r="B138" s="160" t="str">
        <f t="shared" si="29"/>
        <v/>
      </c>
      <c r="C138" s="470">
        <f>IF(D93="","-",+C137+1)</f>
        <v>2053</v>
      </c>
      <c r="D138" s="345">
        <f>IF(F137+SUM(E$99:E137)=D$92,F137,D$92-SUM(E$99:E137))</f>
        <v>146502</v>
      </c>
      <c r="E138" s="482">
        <f t="shared" si="39"/>
        <v>42089</v>
      </c>
      <c r="F138" s="483">
        <f t="shared" si="40"/>
        <v>104413</v>
      </c>
      <c r="G138" s="483">
        <f t="shared" si="41"/>
        <v>125457.5</v>
      </c>
      <c r="H138" s="486">
        <f t="shared" si="42"/>
        <v>56365.159331744871</v>
      </c>
      <c r="I138" s="540">
        <f t="shared" si="43"/>
        <v>56365.159331744871</v>
      </c>
      <c r="J138" s="476">
        <f t="shared" si="30"/>
        <v>0</v>
      </c>
      <c r="K138" s="476"/>
      <c r="L138" s="485"/>
      <c r="M138" s="476">
        <f t="shared" si="44"/>
        <v>0</v>
      </c>
      <c r="N138" s="485"/>
      <c r="O138" s="476">
        <f t="shared" si="45"/>
        <v>0</v>
      </c>
      <c r="P138" s="476">
        <f t="shared" si="46"/>
        <v>0</v>
      </c>
    </row>
    <row r="139" spans="2:16">
      <c r="B139" s="160" t="str">
        <f t="shared" si="29"/>
        <v/>
      </c>
      <c r="C139" s="470">
        <f>IF(D93="","-",+C138+1)</f>
        <v>2054</v>
      </c>
      <c r="D139" s="345">
        <f>IF(F138+SUM(E$99:E138)=D$92,F138,D$92-SUM(E$99:E138))</f>
        <v>104413</v>
      </c>
      <c r="E139" s="482">
        <f t="shared" si="39"/>
        <v>42089</v>
      </c>
      <c r="F139" s="483">
        <f t="shared" si="40"/>
        <v>62324</v>
      </c>
      <c r="G139" s="483">
        <f t="shared" si="41"/>
        <v>83368.5</v>
      </c>
      <c r="H139" s="486">
        <f t="shared" si="42"/>
        <v>51575.73446584359</v>
      </c>
      <c r="I139" s="540">
        <f t="shared" si="43"/>
        <v>51575.73446584359</v>
      </c>
      <c r="J139" s="476">
        <f t="shared" si="30"/>
        <v>0</v>
      </c>
      <c r="K139" s="476"/>
      <c r="L139" s="485"/>
      <c r="M139" s="476">
        <f t="shared" si="44"/>
        <v>0</v>
      </c>
      <c r="N139" s="485"/>
      <c r="O139" s="476">
        <f t="shared" si="45"/>
        <v>0</v>
      </c>
      <c r="P139" s="476">
        <f t="shared" si="46"/>
        <v>0</v>
      </c>
    </row>
    <row r="140" spans="2:16">
      <c r="B140" s="160" t="str">
        <f t="shared" si="29"/>
        <v/>
      </c>
      <c r="C140" s="470">
        <f>IF(D93="","-",+C139+1)</f>
        <v>2055</v>
      </c>
      <c r="D140" s="345">
        <f>IF(F139+SUM(E$99:E139)=D$92,F139,D$92-SUM(E$99:E139))</f>
        <v>62324</v>
      </c>
      <c r="E140" s="482">
        <f t="shared" si="39"/>
        <v>42089</v>
      </c>
      <c r="F140" s="483">
        <f t="shared" si="40"/>
        <v>20235</v>
      </c>
      <c r="G140" s="483">
        <f t="shared" si="41"/>
        <v>41279.5</v>
      </c>
      <c r="H140" s="486">
        <f t="shared" si="42"/>
        <v>46786.309599942309</v>
      </c>
      <c r="I140" s="540">
        <f t="shared" si="43"/>
        <v>46786.309599942309</v>
      </c>
      <c r="J140" s="476">
        <f t="shared" si="30"/>
        <v>0</v>
      </c>
      <c r="K140" s="476"/>
      <c r="L140" s="485"/>
      <c r="M140" s="476">
        <f t="shared" si="44"/>
        <v>0</v>
      </c>
      <c r="N140" s="485"/>
      <c r="O140" s="476">
        <f t="shared" si="45"/>
        <v>0</v>
      </c>
      <c r="P140" s="476">
        <f t="shared" si="46"/>
        <v>0</v>
      </c>
    </row>
    <row r="141" spans="2:16">
      <c r="B141" s="160" t="str">
        <f t="shared" si="29"/>
        <v/>
      </c>
      <c r="C141" s="470">
        <f>IF(D93="","-",+C140+1)</f>
        <v>2056</v>
      </c>
      <c r="D141" s="345">
        <f>IF(F140+SUM(E$99:E140)=D$92,F140,D$92-SUM(E$99:E140))</f>
        <v>20235</v>
      </c>
      <c r="E141" s="482">
        <f t="shared" si="39"/>
        <v>20235</v>
      </c>
      <c r="F141" s="483">
        <f t="shared" si="40"/>
        <v>0</v>
      </c>
      <c r="G141" s="483">
        <f t="shared" si="41"/>
        <v>10117.5</v>
      </c>
      <c r="H141" s="486">
        <f t="shared" si="42"/>
        <v>21386.298583495834</v>
      </c>
      <c r="I141" s="540">
        <f t="shared" si="43"/>
        <v>21386.298583495834</v>
      </c>
      <c r="J141" s="476">
        <f t="shared" si="30"/>
        <v>0</v>
      </c>
      <c r="K141" s="476"/>
      <c r="L141" s="485"/>
      <c r="M141" s="476">
        <f t="shared" si="44"/>
        <v>0</v>
      </c>
      <c r="N141" s="485"/>
      <c r="O141" s="476">
        <f t="shared" si="45"/>
        <v>0</v>
      </c>
      <c r="P141" s="476">
        <f t="shared" si="46"/>
        <v>0</v>
      </c>
    </row>
    <row r="142" spans="2:16">
      <c r="B142" s="160" t="str">
        <f t="shared" si="29"/>
        <v/>
      </c>
      <c r="C142" s="470">
        <f>IF(D93="","-",+C141+1)</f>
        <v>2057</v>
      </c>
      <c r="D142" s="345">
        <f>IF(F141+SUM(E$99:E141)=D$92,F141,D$92-SUM(E$99:E141))</f>
        <v>0</v>
      </c>
      <c r="E142" s="482">
        <f t="shared" si="39"/>
        <v>0</v>
      </c>
      <c r="F142" s="483">
        <f t="shared" si="40"/>
        <v>0</v>
      </c>
      <c r="G142" s="483">
        <f t="shared" si="41"/>
        <v>0</v>
      </c>
      <c r="H142" s="486">
        <f t="shared" si="42"/>
        <v>0</v>
      </c>
      <c r="I142" s="540">
        <f t="shared" si="43"/>
        <v>0</v>
      </c>
      <c r="J142" s="476">
        <f t="shared" si="30"/>
        <v>0</v>
      </c>
      <c r="K142" s="476"/>
      <c r="L142" s="485"/>
      <c r="M142" s="476">
        <f t="shared" si="44"/>
        <v>0</v>
      </c>
      <c r="N142" s="485"/>
      <c r="O142" s="476">
        <f t="shared" si="45"/>
        <v>0</v>
      </c>
      <c r="P142" s="476">
        <f t="shared" si="46"/>
        <v>0</v>
      </c>
    </row>
    <row r="143" spans="2:16">
      <c r="B143" s="160" t="str">
        <f t="shared" si="29"/>
        <v/>
      </c>
      <c r="C143" s="470">
        <f>IF(D93="","-",+C142+1)</f>
        <v>2058</v>
      </c>
      <c r="D143" s="345">
        <f>IF(F142+SUM(E$99:E142)=D$92,F142,D$92-SUM(E$99:E142))</f>
        <v>0</v>
      </c>
      <c r="E143" s="482">
        <f t="shared" si="39"/>
        <v>0</v>
      </c>
      <c r="F143" s="483">
        <f t="shared" si="40"/>
        <v>0</v>
      </c>
      <c r="G143" s="483">
        <f t="shared" si="41"/>
        <v>0</v>
      </c>
      <c r="H143" s="486">
        <f t="shared" si="42"/>
        <v>0</v>
      </c>
      <c r="I143" s="540">
        <f t="shared" si="43"/>
        <v>0</v>
      </c>
      <c r="J143" s="476">
        <f t="shared" si="30"/>
        <v>0</v>
      </c>
      <c r="K143" s="476"/>
      <c r="L143" s="485"/>
      <c r="M143" s="476">
        <f t="shared" si="44"/>
        <v>0</v>
      </c>
      <c r="N143" s="485"/>
      <c r="O143" s="476">
        <f t="shared" si="45"/>
        <v>0</v>
      </c>
      <c r="P143" s="476">
        <f t="shared" si="46"/>
        <v>0</v>
      </c>
    </row>
    <row r="144" spans="2:16">
      <c r="B144" s="160" t="str">
        <f t="shared" si="29"/>
        <v/>
      </c>
      <c r="C144" s="470">
        <f>IF(D93="","-",+C143+1)</f>
        <v>2059</v>
      </c>
      <c r="D144" s="345">
        <f>IF(F143+SUM(E$99:E143)=D$92,F143,D$92-SUM(E$99:E143))</f>
        <v>0</v>
      </c>
      <c r="E144" s="482">
        <f t="shared" si="39"/>
        <v>0</v>
      </c>
      <c r="F144" s="483">
        <f t="shared" si="40"/>
        <v>0</v>
      </c>
      <c r="G144" s="483">
        <f t="shared" si="41"/>
        <v>0</v>
      </c>
      <c r="H144" s="486">
        <f t="shared" si="42"/>
        <v>0</v>
      </c>
      <c r="I144" s="540">
        <f t="shared" si="43"/>
        <v>0</v>
      </c>
      <c r="J144" s="476">
        <f t="shared" si="30"/>
        <v>0</v>
      </c>
      <c r="K144" s="476"/>
      <c r="L144" s="485"/>
      <c r="M144" s="476">
        <f t="shared" si="44"/>
        <v>0</v>
      </c>
      <c r="N144" s="485"/>
      <c r="O144" s="476">
        <f t="shared" si="45"/>
        <v>0</v>
      </c>
      <c r="P144" s="476">
        <f t="shared" si="46"/>
        <v>0</v>
      </c>
    </row>
    <row r="145" spans="2:16">
      <c r="B145" s="160" t="str">
        <f t="shared" si="29"/>
        <v/>
      </c>
      <c r="C145" s="470">
        <f>IF(D93="","-",+C144+1)</f>
        <v>2060</v>
      </c>
      <c r="D145" s="345">
        <f>IF(F144+SUM(E$99:E144)=D$92,F144,D$92-SUM(E$99:E144))</f>
        <v>0</v>
      </c>
      <c r="E145" s="482">
        <f t="shared" si="39"/>
        <v>0</v>
      </c>
      <c r="F145" s="483">
        <f t="shared" si="40"/>
        <v>0</v>
      </c>
      <c r="G145" s="483">
        <f t="shared" si="41"/>
        <v>0</v>
      </c>
      <c r="H145" s="486">
        <f t="shared" si="42"/>
        <v>0</v>
      </c>
      <c r="I145" s="540">
        <f t="shared" si="43"/>
        <v>0</v>
      </c>
      <c r="J145" s="476">
        <f t="shared" si="30"/>
        <v>0</v>
      </c>
      <c r="K145" s="476"/>
      <c r="L145" s="485"/>
      <c r="M145" s="476">
        <f t="shared" si="44"/>
        <v>0</v>
      </c>
      <c r="N145" s="485"/>
      <c r="O145" s="476">
        <f t="shared" si="45"/>
        <v>0</v>
      </c>
      <c r="P145" s="476">
        <f t="shared" si="46"/>
        <v>0</v>
      </c>
    </row>
    <row r="146" spans="2:16">
      <c r="B146" s="160" t="str">
        <f t="shared" si="29"/>
        <v/>
      </c>
      <c r="C146" s="470">
        <f>IF(D93="","-",+C145+1)</f>
        <v>2061</v>
      </c>
      <c r="D146" s="345">
        <f>IF(F145+SUM(E$99:E145)=D$92,F145,D$92-SUM(E$99:E145))</f>
        <v>0</v>
      </c>
      <c r="E146" s="482">
        <f t="shared" si="39"/>
        <v>0</v>
      </c>
      <c r="F146" s="483">
        <f t="shared" si="40"/>
        <v>0</v>
      </c>
      <c r="G146" s="483">
        <f t="shared" si="41"/>
        <v>0</v>
      </c>
      <c r="H146" s="486">
        <f t="shared" si="42"/>
        <v>0</v>
      </c>
      <c r="I146" s="540">
        <f t="shared" si="43"/>
        <v>0</v>
      </c>
      <c r="J146" s="476">
        <f t="shared" si="30"/>
        <v>0</v>
      </c>
      <c r="K146" s="476"/>
      <c r="L146" s="485"/>
      <c r="M146" s="476">
        <f t="shared" si="44"/>
        <v>0</v>
      </c>
      <c r="N146" s="485"/>
      <c r="O146" s="476">
        <f t="shared" si="45"/>
        <v>0</v>
      </c>
      <c r="P146" s="476">
        <f t="shared" si="46"/>
        <v>0</v>
      </c>
    </row>
    <row r="147" spans="2:16">
      <c r="B147" s="160" t="str">
        <f t="shared" si="29"/>
        <v/>
      </c>
      <c r="C147" s="470">
        <f>IF(D93="","-",+C146+1)</f>
        <v>2062</v>
      </c>
      <c r="D147" s="345">
        <f>IF(F146+SUM(E$99:E146)=D$92,F146,D$92-SUM(E$99:E146))</f>
        <v>0</v>
      </c>
      <c r="E147" s="482">
        <f t="shared" si="39"/>
        <v>0</v>
      </c>
      <c r="F147" s="483">
        <f t="shared" si="40"/>
        <v>0</v>
      </c>
      <c r="G147" s="483">
        <f t="shared" si="41"/>
        <v>0</v>
      </c>
      <c r="H147" s="486">
        <f t="shared" si="42"/>
        <v>0</v>
      </c>
      <c r="I147" s="540">
        <f t="shared" si="43"/>
        <v>0</v>
      </c>
      <c r="J147" s="476">
        <f t="shared" si="30"/>
        <v>0</v>
      </c>
      <c r="K147" s="476"/>
      <c r="L147" s="485"/>
      <c r="M147" s="476">
        <f t="shared" si="44"/>
        <v>0</v>
      </c>
      <c r="N147" s="485"/>
      <c r="O147" s="476">
        <f t="shared" si="45"/>
        <v>0</v>
      </c>
      <c r="P147" s="476">
        <f t="shared" si="46"/>
        <v>0</v>
      </c>
    </row>
    <row r="148" spans="2:16">
      <c r="B148" s="160" t="str">
        <f t="shared" si="29"/>
        <v/>
      </c>
      <c r="C148" s="470">
        <f>IF(D93="","-",+C147+1)</f>
        <v>2063</v>
      </c>
      <c r="D148" s="345">
        <f>IF(F147+SUM(E$99:E147)=D$92,F147,D$92-SUM(E$99:E147))</f>
        <v>0</v>
      </c>
      <c r="E148" s="482">
        <f t="shared" si="39"/>
        <v>0</v>
      </c>
      <c r="F148" s="483">
        <f t="shared" si="40"/>
        <v>0</v>
      </c>
      <c r="G148" s="483">
        <f t="shared" si="41"/>
        <v>0</v>
      </c>
      <c r="H148" s="486">
        <f t="shared" si="42"/>
        <v>0</v>
      </c>
      <c r="I148" s="540">
        <f t="shared" si="43"/>
        <v>0</v>
      </c>
      <c r="J148" s="476">
        <f t="shared" si="30"/>
        <v>0</v>
      </c>
      <c r="K148" s="476"/>
      <c r="L148" s="485"/>
      <c r="M148" s="476">
        <f t="shared" si="44"/>
        <v>0</v>
      </c>
      <c r="N148" s="485"/>
      <c r="O148" s="476">
        <f t="shared" si="45"/>
        <v>0</v>
      </c>
      <c r="P148" s="476">
        <f t="shared" si="46"/>
        <v>0</v>
      </c>
    </row>
    <row r="149" spans="2:16">
      <c r="B149" s="160" t="str">
        <f t="shared" si="29"/>
        <v/>
      </c>
      <c r="C149" s="470">
        <f>IF(D93="","-",+C148+1)</f>
        <v>2064</v>
      </c>
      <c r="D149" s="345">
        <f>IF(F148+SUM(E$99:E148)=D$92,F148,D$92-SUM(E$99:E148))</f>
        <v>0</v>
      </c>
      <c r="E149" s="482">
        <f t="shared" si="39"/>
        <v>0</v>
      </c>
      <c r="F149" s="483">
        <f t="shared" si="40"/>
        <v>0</v>
      </c>
      <c r="G149" s="483">
        <f t="shared" si="41"/>
        <v>0</v>
      </c>
      <c r="H149" s="486">
        <f t="shared" si="42"/>
        <v>0</v>
      </c>
      <c r="I149" s="540">
        <f t="shared" si="43"/>
        <v>0</v>
      </c>
      <c r="J149" s="476">
        <f t="shared" si="30"/>
        <v>0</v>
      </c>
      <c r="K149" s="476"/>
      <c r="L149" s="485"/>
      <c r="M149" s="476">
        <f t="shared" si="44"/>
        <v>0</v>
      </c>
      <c r="N149" s="485"/>
      <c r="O149" s="476">
        <f t="shared" si="45"/>
        <v>0</v>
      </c>
      <c r="P149" s="476">
        <f t="shared" si="46"/>
        <v>0</v>
      </c>
    </row>
    <row r="150" spans="2:16">
      <c r="B150" s="160" t="str">
        <f t="shared" si="29"/>
        <v/>
      </c>
      <c r="C150" s="470">
        <f>IF(D93="","-",+C149+1)</f>
        <v>2065</v>
      </c>
      <c r="D150" s="345">
        <f>IF(F149+SUM(E$99:E149)=D$92,F149,D$92-SUM(E$99:E149))</f>
        <v>0</v>
      </c>
      <c r="E150" s="482">
        <f t="shared" si="39"/>
        <v>0</v>
      </c>
      <c r="F150" s="483">
        <f t="shared" si="40"/>
        <v>0</v>
      </c>
      <c r="G150" s="483">
        <f t="shared" si="41"/>
        <v>0</v>
      </c>
      <c r="H150" s="486">
        <f t="shared" si="42"/>
        <v>0</v>
      </c>
      <c r="I150" s="540">
        <f t="shared" si="43"/>
        <v>0</v>
      </c>
      <c r="J150" s="476">
        <f t="shared" si="30"/>
        <v>0</v>
      </c>
      <c r="K150" s="476"/>
      <c r="L150" s="485"/>
      <c r="M150" s="476">
        <f t="shared" si="44"/>
        <v>0</v>
      </c>
      <c r="N150" s="485"/>
      <c r="O150" s="476">
        <f t="shared" si="45"/>
        <v>0</v>
      </c>
      <c r="P150" s="476">
        <f t="shared" si="46"/>
        <v>0</v>
      </c>
    </row>
    <row r="151" spans="2:16">
      <c r="B151" s="160" t="str">
        <f t="shared" si="29"/>
        <v/>
      </c>
      <c r="C151" s="470">
        <f>IF(D93="","-",+C150+1)</f>
        <v>2066</v>
      </c>
      <c r="D151" s="345">
        <f>IF(F150+SUM(E$99:E150)=D$92,F150,D$92-SUM(E$99:E150))</f>
        <v>0</v>
      </c>
      <c r="E151" s="482">
        <f t="shared" si="39"/>
        <v>0</v>
      </c>
      <c r="F151" s="483">
        <f t="shared" si="40"/>
        <v>0</v>
      </c>
      <c r="G151" s="483">
        <f t="shared" si="41"/>
        <v>0</v>
      </c>
      <c r="H151" s="486">
        <f t="shared" si="42"/>
        <v>0</v>
      </c>
      <c r="I151" s="540">
        <f t="shared" si="43"/>
        <v>0</v>
      </c>
      <c r="J151" s="476">
        <f t="shared" si="30"/>
        <v>0</v>
      </c>
      <c r="K151" s="476"/>
      <c r="L151" s="485"/>
      <c r="M151" s="476">
        <f t="shared" si="44"/>
        <v>0</v>
      </c>
      <c r="N151" s="485"/>
      <c r="O151" s="476">
        <f t="shared" si="45"/>
        <v>0</v>
      </c>
      <c r="P151" s="476">
        <f t="shared" si="46"/>
        <v>0</v>
      </c>
    </row>
    <row r="152" spans="2:16">
      <c r="B152" s="160" t="str">
        <f t="shared" si="29"/>
        <v/>
      </c>
      <c r="C152" s="470">
        <f>IF(D93="","-",+C151+1)</f>
        <v>2067</v>
      </c>
      <c r="D152" s="345">
        <f>IF(F151+SUM(E$99:E151)=D$92,F151,D$92-SUM(E$99:E151))</f>
        <v>0</v>
      </c>
      <c r="E152" s="482">
        <f t="shared" si="39"/>
        <v>0</v>
      </c>
      <c r="F152" s="483">
        <f t="shared" si="40"/>
        <v>0</v>
      </c>
      <c r="G152" s="483">
        <f t="shared" si="41"/>
        <v>0</v>
      </c>
      <c r="H152" s="486">
        <f t="shared" si="42"/>
        <v>0</v>
      </c>
      <c r="I152" s="540">
        <f t="shared" si="43"/>
        <v>0</v>
      </c>
      <c r="J152" s="476">
        <f t="shared" si="30"/>
        <v>0</v>
      </c>
      <c r="K152" s="476"/>
      <c r="L152" s="485"/>
      <c r="M152" s="476">
        <f t="shared" si="44"/>
        <v>0</v>
      </c>
      <c r="N152" s="485"/>
      <c r="O152" s="476">
        <f t="shared" si="45"/>
        <v>0</v>
      </c>
      <c r="P152" s="476">
        <f t="shared" si="46"/>
        <v>0</v>
      </c>
    </row>
    <row r="153" spans="2:16">
      <c r="B153" s="160" t="str">
        <f t="shared" si="29"/>
        <v/>
      </c>
      <c r="C153" s="470">
        <f>IF(D93="","-",+C152+1)</f>
        <v>2068</v>
      </c>
      <c r="D153" s="345">
        <f>IF(F152+SUM(E$99:E152)=D$92,F152,D$92-SUM(E$99:E152))</f>
        <v>0</v>
      </c>
      <c r="E153" s="482">
        <f t="shared" si="39"/>
        <v>0</v>
      </c>
      <c r="F153" s="483">
        <f t="shared" si="40"/>
        <v>0</v>
      </c>
      <c r="G153" s="483">
        <f t="shared" si="41"/>
        <v>0</v>
      </c>
      <c r="H153" s="486">
        <f t="shared" si="42"/>
        <v>0</v>
      </c>
      <c r="I153" s="540">
        <f t="shared" si="43"/>
        <v>0</v>
      </c>
      <c r="J153" s="476">
        <f t="shared" si="30"/>
        <v>0</v>
      </c>
      <c r="K153" s="476"/>
      <c r="L153" s="485"/>
      <c r="M153" s="476">
        <f t="shared" si="44"/>
        <v>0</v>
      </c>
      <c r="N153" s="485"/>
      <c r="O153" s="476">
        <f t="shared" si="45"/>
        <v>0</v>
      </c>
      <c r="P153" s="476">
        <f t="shared" si="46"/>
        <v>0</v>
      </c>
    </row>
    <row r="154" spans="2:16" ht="13.5" thickBot="1">
      <c r="B154" s="160" t="str">
        <f t="shared" si="29"/>
        <v/>
      </c>
      <c r="C154" s="487">
        <f>IF(D93="","-",+C153+1)</f>
        <v>2069</v>
      </c>
      <c r="D154" s="574">
        <f>IF(F153+SUM(E$99:E153)=D$92,F153,D$92-SUM(E$99:E153))</f>
        <v>0</v>
      </c>
      <c r="E154" s="489">
        <f t="shared" si="39"/>
        <v>0</v>
      </c>
      <c r="F154" s="488">
        <f t="shared" si="40"/>
        <v>0</v>
      </c>
      <c r="G154" s="488">
        <f t="shared" si="41"/>
        <v>0</v>
      </c>
      <c r="H154" s="490">
        <f t="shared" si="42"/>
        <v>0</v>
      </c>
      <c r="I154" s="543">
        <f t="shared" si="43"/>
        <v>0</v>
      </c>
      <c r="J154" s="493">
        <f t="shared" si="30"/>
        <v>0</v>
      </c>
      <c r="K154" s="476"/>
      <c r="L154" s="492"/>
      <c r="M154" s="493">
        <f t="shared" si="44"/>
        <v>0</v>
      </c>
      <c r="N154" s="492"/>
      <c r="O154" s="493">
        <f t="shared" si="45"/>
        <v>0</v>
      </c>
      <c r="P154" s="493">
        <f t="shared" si="46"/>
        <v>0</v>
      </c>
    </row>
    <row r="155" spans="2:16">
      <c r="C155" s="345" t="s">
        <v>77</v>
      </c>
      <c r="D155" s="346"/>
      <c r="E155" s="346">
        <f>SUM(E99:E154)</f>
        <v>1725647</v>
      </c>
      <c r="F155" s="346"/>
      <c r="G155" s="346"/>
      <c r="H155" s="346">
        <f>SUM(H99:H154)</f>
        <v>5886368.3191984948</v>
      </c>
      <c r="I155" s="346">
        <f>SUM(I99:I154)</f>
        <v>5886368.3191984948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33" priority="1" stopIfTrue="1" operator="equal">
      <formula>$I$10</formula>
    </cfRule>
  </conditionalFormatting>
  <conditionalFormatting sqref="C99:C154">
    <cfRule type="cellIs" dxfId="32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68"/>
  <dimension ref="A1:P162"/>
  <sheetViews>
    <sheetView topLeftCell="A87" zoomScaleNormal="100" zoomScaleSheetLayoutView="78" workbookViewId="0">
      <selection activeCell="D99" sqref="D99:I104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19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161154.20676823906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161154.20676823906</v>
      </c>
      <c r="O6" s="231"/>
      <c r="P6" s="231"/>
    </row>
    <row r="7" spans="1:16" ht="13.5" thickBot="1">
      <c r="C7" s="429" t="s">
        <v>46</v>
      </c>
      <c r="D7" s="597" t="s">
        <v>281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295</v>
      </c>
      <c r="E9" s="575" t="s">
        <v>296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1338977.9100000004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2017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3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35236.260789473694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2017</v>
      </c>
      <c r="D17" s="582">
        <v>0</v>
      </c>
      <c r="E17" s="606">
        <v>21831.16304347826</v>
      </c>
      <c r="F17" s="582">
        <v>1317146.8369565217</v>
      </c>
      <c r="G17" s="606">
        <v>105641.6474528401</v>
      </c>
      <c r="H17" s="585">
        <v>105641.6474528401</v>
      </c>
      <c r="I17" s="473">
        <f t="shared" ref="I17:I72" si="0">H17-G17</f>
        <v>0</v>
      </c>
      <c r="J17" s="473"/>
      <c r="K17" s="475">
        <f t="shared" ref="K17:K22" si="1">+G17</f>
        <v>105641.6474528401</v>
      </c>
      <c r="L17" s="475">
        <f t="shared" ref="L17:L72" si="2">IF(K17&lt;&gt;0,+G17-K17,0)</f>
        <v>0</v>
      </c>
      <c r="M17" s="475">
        <f t="shared" ref="M17:M22" si="3">+H17</f>
        <v>105641.6474528401</v>
      </c>
      <c r="N17" s="475">
        <f t="shared" ref="N17:N72" si="4">IF(M17&lt;&gt;0,+H17-M17,0)</f>
        <v>0</v>
      </c>
      <c r="O17" s="476">
        <f t="shared" ref="O17:O72" si="5">+N17-L17</f>
        <v>0</v>
      </c>
      <c r="P17" s="241"/>
    </row>
    <row r="18" spans="2:16">
      <c r="B18" s="160" t="str">
        <f>IF(D18=F17,"","IU")</f>
        <v/>
      </c>
      <c r="C18" s="470">
        <f>IF(D11="","-",+C17+1)</f>
        <v>2018</v>
      </c>
      <c r="D18" s="582">
        <v>1317146.8369565217</v>
      </c>
      <c r="E18" s="583">
        <v>29755.066666666666</v>
      </c>
      <c r="F18" s="582">
        <v>1287391.7702898551</v>
      </c>
      <c r="G18" s="583">
        <v>185713.45898482588</v>
      </c>
      <c r="H18" s="585">
        <v>185713.45898482588</v>
      </c>
      <c r="I18" s="473">
        <f t="shared" si="0"/>
        <v>0</v>
      </c>
      <c r="J18" s="473"/>
      <c r="K18" s="476">
        <f t="shared" si="1"/>
        <v>185713.45898482588</v>
      </c>
      <c r="L18" s="476">
        <f t="shared" si="2"/>
        <v>0</v>
      </c>
      <c r="M18" s="476">
        <f t="shared" si="3"/>
        <v>185713.45898482588</v>
      </c>
      <c r="N18" s="476">
        <f t="shared" si="4"/>
        <v>0</v>
      </c>
      <c r="O18" s="476">
        <f t="shared" si="5"/>
        <v>0</v>
      </c>
      <c r="P18" s="241"/>
    </row>
    <row r="19" spans="2:16">
      <c r="B19" s="160" t="str">
        <f>IF(D19=F18,"","IU")</f>
        <v/>
      </c>
      <c r="C19" s="470">
        <f>IF(D11="","-",+C18+1)</f>
        <v>2019</v>
      </c>
      <c r="D19" s="582">
        <v>1287391.7702898551</v>
      </c>
      <c r="E19" s="583">
        <v>33474.449999999997</v>
      </c>
      <c r="F19" s="582">
        <v>1253917.3202898551</v>
      </c>
      <c r="G19" s="583">
        <v>175351.45606998727</v>
      </c>
      <c r="H19" s="585">
        <v>175351.45606998727</v>
      </c>
      <c r="I19" s="473">
        <f t="shared" si="0"/>
        <v>0</v>
      </c>
      <c r="J19" s="473"/>
      <c r="K19" s="476">
        <f t="shared" si="1"/>
        <v>175351.45606998727</v>
      </c>
      <c r="L19" s="476">
        <f t="shared" ref="L19" si="6">IF(K19&lt;&gt;0,+G19-K19,0)</f>
        <v>0</v>
      </c>
      <c r="M19" s="476">
        <f t="shared" si="3"/>
        <v>175351.45606998727</v>
      </c>
      <c r="N19" s="476">
        <f t="shared" si="4"/>
        <v>0</v>
      </c>
      <c r="O19" s="476">
        <f t="shared" si="5"/>
        <v>0</v>
      </c>
      <c r="P19" s="241"/>
    </row>
    <row r="20" spans="2:16">
      <c r="B20" s="160" t="str">
        <f t="shared" ref="B20:B72" si="7">IF(D20=F19,"","IU")</f>
        <v>IU</v>
      </c>
      <c r="C20" s="470">
        <f>IF(D11="","-",+C19+1)</f>
        <v>2020</v>
      </c>
      <c r="D20" s="582">
        <v>1257636.7036231884</v>
      </c>
      <c r="E20" s="583">
        <v>31880.428571428572</v>
      </c>
      <c r="F20" s="582">
        <v>1225756.2750517598</v>
      </c>
      <c r="G20" s="583">
        <v>165989.58089219453</v>
      </c>
      <c r="H20" s="585">
        <v>165989.58089219453</v>
      </c>
      <c r="I20" s="473">
        <f t="shared" si="0"/>
        <v>0</v>
      </c>
      <c r="J20" s="473"/>
      <c r="K20" s="476">
        <f t="shared" si="1"/>
        <v>165989.58089219453</v>
      </c>
      <c r="L20" s="476">
        <f t="shared" ref="L20" si="8">IF(K20&lt;&gt;0,+G20-K20,0)</f>
        <v>0</v>
      </c>
      <c r="M20" s="476">
        <f t="shared" si="3"/>
        <v>165989.58089219453</v>
      </c>
      <c r="N20" s="476">
        <f t="shared" si="4"/>
        <v>0</v>
      </c>
      <c r="O20" s="476">
        <f t="shared" si="5"/>
        <v>0</v>
      </c>
      <c r="P20" s="241"/>
    </row>
    <row r="21" spans="2:16">
      <c r="B21" s="160" t="str">
        <f t="shared" si="7"/>
        <v>IU</v>
      </c>
      <c r="C21" s="470">
        <f>IF(D11="","-",+C20+1)</f>
        <v>2021</v>
      </c>
      <c r="D21" s="582">
        <v>1222036.8917184265</v>
      </c>
      <c r="E21" s="583">
        <v>31139.023255813954</v>
      </c>
      <c r="F21" s="582">
        <v>1190897.8684626126</v>
      </c>
      <c r="G21" s="583">
        <v>161222.32913848371</v>
      </c>
      <c r="H21" s="585">
        <v>161222.32913848371</v>
      </c>
      <c r="I21" s="473">
        <f t="shared" si="0"/>
        <v>0</v>
      </c>
      <c r="J21" s="473"/>
      <c r="K21" s="476">
        <f t="shared" si="1"/>
        <v>161222.32913848371</v>
      </c>
      <c r="L21" s="476">
        <f t="shared" ref="L21" si="9">IF(K21&lt;&gt;0,+G21-K21,0)</f>
        <v>0</v>
      </c>
      <c r="M21" s="476">
        <f t="shared" si="3"/>
        <v>161222.32913848371</v>
      </c>
      <c r="N21" s="476">
        <f t="shared" si="4"/>
        <v>0</v>
      </c>
      <c r="O21" s="476">
        <f t="shared" si="5"/>
        <v>0</v>
      </c>
      <c r="P21" s="241"/>
    </row>
    <row r="22" spans="2:16">
      <c r="B22" s="160" t="str">
        <f t="shared" si="7"/>
        <v/>
      </c>
      <c r="C22" s="470">
        <f>IF(D11="","-",+C21+1)</f>
        <v>2022</v>
      </c>
      <c r="D22" s="582">
        <v>1190897.8684626126</v>
      </c>
      <c r="E22" s="583">
        <v>31880.428571428572</v>
      </c>
      <c r="F22" s="582">
        <v>1159017.439891184</v>
      </c>
      <c r="G22" s="583">
        <v>158554.07703900614</v>
      </c>
      <c r="H22" s="585">
        <v>158554.07703900614</v>
      </c>
      <c r="I22" s="473">
        <f t="shared" si="0"/>
        <v>0</v>
      </c>
      <c r="J22" s="473"/>
      <c r="K22" s="476">
        <f t="shared" si="1"/>
        <v>158554.07703900614</v>
      </c>
      <c r="L22" s="476">
        <f t="shared" ref="L22" si="10">IF(K22&lt;&gt;0,+G22-K22,0)</f>
        <v>0</v>
      </c>
      <c r="M22" s="476">
        <f t="shared" si="3"/>
        <v>158554.07703900614</v>
      </c>
      <c r="N22" s="476">
        <f t="shared" si="4"/>
        <v>0</v>
      </c>
      <c r="O22" s="476">
        <f t="shared" si="5"/>
        <v>0</v>
      </c>
      <c r="P22" s="241"/>
    </row>
    <row r="23" spans="2:16">
      <c r="B23" s="160" t="str">
        <f t="shared" si="7"/>
        <v>IU</v>
      </c>
      <c r="C23" s="470">
        <f>IF(D11="","-",+C22+1)</f>
        <v>2023</v>
      </c>
      <c r="D23" s="582">
        <v>1159017.3498911844</v>
      </c>
      <c r="E23" s="583">
        <v>34332.766923076932</v>
      </c>
      <c r="F23" s="582">
        <v>1124684.5829681074</v>
      </c>
      <c r="G23" s="583">
        <v>170622.90008256794</v>
      </c>
      <c r="H23" s="585">
        <v>170622.90008256794</v>
      </c>
      <c r="I23" s="473">
        <f t="shared" si="0"/>
        <v>0</v>
      </c>
      <c r="J23" s="473"/>
      <c r="K23" s="476">
        <f t="shared" ref="K23" si="11">+G23</f>
        <v>170622.90008256794</v>
      </c>
      <c r="L23" s="476">
        <f t="shared" ref="L23" si="12">IF(K23&lt;&gt;0,+G23-K23,0)</f>
        <v>0</v>
      </c>
      <c r="M23" s="476">
        <f t="shared" ref="M23" si="13">+H23</f>
        <v>170622.90008256794</v>
      </c>
      <c r="N23" s="476">
        <f t="shared" ref="N23" si="14">IF(M23&lt;&gt;0,+H23-M23,0)</f>
        <v>0</v>
      </c>
      <c r="O23" s="476">
        <f t="shared" ref="O23" si="15">+N23-L23</f>
        <v>0</v>
      </c>
      <c r="P23" s="241"/>
    </row>
    <row r="24" spans="2:16">
      <c r="B24" s="160" t="str">
        <f t="shared" si="7"/>
        <v/>
      </c>
      <c r="C24" s="631">
        <f>IF(D11="","-",+C23+1)</f>
        <v>2024</v>
      </c>
      <c r="D24" s="481">
        <f>IF(F23+SUM(E$17:E23)=D$10,F23,D$10-SUM(E$17:E23))</f>
        <v>1124684.5829681074</v>
      </c>
      <c r="E24" s="482">
        <f t="shared" ref="E24:E72" si="16">IF(+I$14&lt;F23,I$14,D24)</f>
        <v>35236.260789473694</v>
      </c>
      <c r="F24" s="483">
        <f t="shared" ref="F24:F72" si="17">+D24-E24</f>
        <v>1089448.3221786337</v>
      </c>
      <c r="G24" s="484">
        <f t="shared" ref="G24:G72" si="18">(D24+F24)/2*I$12+E24</f>
        <v>161154.20676823906</v>
      </c>
      <c r="H24" s="453">
        <f t="shared" ref="H24:H72" si="19">+(D24+F24)/2*I$13+E24</f>
        <v>161154.20676823906</v>
      </c>
      <c r="I24" s="473">
        <f t="shared" si="0"/>
        <v>0</v>
      </c>
      <c r="J24" s="473"/>
      <c r="K24" s="485"/>
      <c r="L24" s="476">
        <f t="shared" si="2"/>
        <v>0</v>
      </c>
      <c r="M24" s="485"/>
      <c r="N24" s="476">
        <f t="shared" si="4"/>
        <v>0</v>
      </c>
      <c r="O24" s="476">
        <f t="shared" si="5"/>
        <v>0</v>
      </c>
      <c r="P24" s="241"/>
    </row>
    <row r="25" spans="2:16">
      <c r="B25" s="160" t="str">
        <f t="shared" si="7"/>
        <v/>
      </c>
      <c r="C25" s="470">
        <f>IF(D11="","-",+C24+1)</f>
        <v>2025</v>
      </c>
      <c r="D25" s="481">
        <f>IF(F24+SUM(E$17:E24)=D$10,F24,D$10-SUM(E$17:E24))</f>
        <v>1089448.3221786337</v>
      </c>
      <c r="E25" s="482">
        <f t="shared" si="16"/>
        <v>35236.260789473694</v>
      </c>
      <c r="F25" s="483">
        <f t="shared" si="17"/>
        <v>1054212.0613891599</v>
      </c>
      <c r="G25" s="484">
        <f t="shared" si="18"/>
        <v>157146.42785644095</v>
      </c>
      <c r="H25" s="453">
        <f t="shared" si="19"/>
        <v>157146.42785644095</v>
      </c>
      <c r="I25" s="473">
        <f t="shared" si="0"/>
        <v>0</v>
      </c>
      <c r="J25" s="473"/>
      <c r="K25" s="485"/>
      <c r="L25" s="476">
        <f t="shared" si="2"/>
        <v>0</v>
      </c>
      <c r="M25" s="485"/>
      <c r="N25" s="476">
        <f t="shared" si="4"/>
        <v>0</v>
      </c>
      <c r="O25" s="476">
        <f t="shared" si="5"/>
        <v>0</v>
      </c>
      <c r="P25" s="241"/>
    </row>
    <row r="26" spans="2:16">
      <c r="B26" s="160" t="str">
        <f t="shared" si="7"/>
        <v/>
      </c>
      <c r="C26" s="470">
        <f>IF(D11="","-",+C25+1)</f>
        <v>2026</v>
      </c>
      <c r="D26" s="481">
        <f>IF(F25+SUM(E$17:E25)=D$10,F25,D$10-SUM(E$17:E25))</f>
        <v>1054212.0613891599</v>
      </c>
      <c r="E26" s="482">
        <f t="shared" si="16"/>
        <v>35236.260789473694</v>
      </c>
      <c r="F26" s="483">
        <f t="shared" si="17"/>
        <v>1018975.8005996862</v>
      </c>
      <c r="G26" s="484">
        <f t="shared" si="18"/>
        <v>153138.64894464292</v>
      </c>
      <c r="H26" s="453">
        <f t="shared" si="19"/>
        <v>153138.64894464292</v>
      </c>
      <c r="I26" s="473">
        <f t="shared" si="0"/>
        <v>0</v>
      </c>
      <c r="J26" s="473"/>
      <c r="K26" s="485"/>
      <c r="L26" s="476">
        <f t="shared" si="2"/>
        <v>0</v>
      </c>
      <c r="M26" s="485"/>
      <c r="N26" s="476">
        <f t="shared" si="4"/>
        <v>0</v>
      </c>
      <c r="O26" s="476">
        <f t="shared" si="5"/>
        <v>0</v>
      </c>
      <c r="P26" s="241"/>
    </row>
    <row r="27" spans="2:16">
      <c r="B27" s="160" t="str">
        <f t="shared" si="7"/>
        <v/>
      </c>
      <c r="C27" s="470">
        <f>IF(D11="","-",+C26+1)</f>
        <v>2027</v>
      </c>
      <c r="D27" s="481">
        <f>IF(F26+SUM(E$17:E26)=D$10,F26,D$10-SUM(E$17:E26))</f>
        <v>1018975.8005996862</v>
      </c>
      <c r="E27" s="482">
        <f t="shared" si="16"/>
        <v>35236.260789473694</v>
      </c>
      <c r="F27" s="483">
        <f t="shared" si="17"/>
        <v>983739.53981021256</v>
      </c>
      <c r="G27" s="484">
        <f t="shared" si="18"/>
        <v>149130.87003284486</v>
      </c>
      <c r="H27" s="453">
        <f t="shared" si="19"/>
        <v>149130.87003284486</v>
      </c>
      <c r="I27" s="473">
        <f t="shared" si="0"/>
        <v>0</v>
      </c>
      <c r="J27" s="473"/>
      <c r="K27" s="485"/>
      <c r="L27" s="476">
        <f t="shared" si="2"/>
        <v>0</v>
      </c>
      <c r="M27" s="485"/>
      <c r="N27" s="476">
        <f t="shared" si="4"/>
        <v>0</v>
      </c>
      <c r="O27" s="476">
        <f t="shared" si="5"/>
        <v>0</v>
      </c>
      <c r="P27" s="241"/>
    </row>
    <row r="28" spans="2:16">
      <c r="B28" s="160" t="str">
        <f t="shared" si="7"/>
        <v/>
      </c>
      <c r="C28" s="470">
        <f>IF(D11="","-",+C27+1)</f>
        <v>2028</v>
      </c>
      <c r="D28" s="481">
        <f>IF(F27+SUM(E$17:E27)=D$10,F27,D$10-SUM(E$17:E27))</f>
        <v>983739.53981021256</v>
      </c>
      <c r="E28" s="482">
        <f t="shared" si="16"/>
        <v>35236.260789473694</v>
      </c>
      <c r="F28" s="483">
        <f t="shared" si="17"/>
        <v>948503.2790207389</v>
      </c>
      <c r="G28" s="484">
        <f t="shared" si="18"/>
        <v>145123.09112104683</v>
      </c>
      <c r="H28" s="453">
        <f t="shared" si="19"/>
        <v>145123.09112104683</v>
      </c>
      <c r="I28" s="473">
        <f t="shared" si="0"/>
        <v>0</v>
      </c>
      <c r="J28" s="473"/>
      <c r="K28" s="485"/>
      <c r="L28" s="476">
        <f t="shared" si="2"/>
        <v>0</v>
      </c>
      <c r="M28" s="485"/>
      <c r="N28" s="476">
        <f t="shared" si="4"/>
        <v>0</v>
      </c>
      <c r="O28" s="476">
        <f t="shared" si="5"/>
        <v>0</v>
      </c>
      <c r="P28" s="241"/>
    </row>
    <row r="29" spans="2:16">
      <c r="B29" s="160" t="str">
        <f t="shared" si="7"/>
        <v/>
      </c>
      <c r="C29" s="470">
        <f>IF(D11="","-",+C28+1)</f>
        <v>2029</v>
      </c>
      <c r="D29" s="481">
        <f>IF(F28+SUM(E$17:E28)=D$10,F28,D$10-SUM(E$17:E28))</f>
        <v>948503.2790207389</v>
      </c>
      <c r="E29" s="482">
        <f t="shared" si="16"/>
        <v>35236.260789473694</v>
      </c>
      <c r="F29" s="483">
        <f t="shared" si="17"/>
        <v>913267.01823126525</v>
      </c>
      <c r="G29" s="484">
        <f t="shared" si="18"/>
        <v>141115.31220924875</v>
      </c>
      <c r="H29" s="453">
        <f t="shared" si="19"/>
        <v>141115.31220924875</v>
      </c>
      <c r="I29" s="473">
        <f t="shared" si="0"/>
        <v>0</v>
      </c>
      <c r="J29" s="473"/>
      <c r="K29" s="485"/>
      <c r="L29" s="476">
        <f t="shared" si="2"/>
        <v>0</v>
      </c>
      <c r="M29" s="485"/>
      <c r="N29" s="476">
        <f t="shared" si="4"/>
        <v>0</v>
      </c>
      <c r="O29" s="476">
        <f t="shared" si="5"/>
        <v>0</v>
      </c>
      <c r="P29" s="241"/>
    </row>
    <row r="30" spans="2:16">
      <c r="B30" s="160" t="str">
        <f t="shared" si="7"/>
        <v/>
      </c>
      <c r="C30" s="470">
        <f>IF(D11="","-",+C29+1)</f>
        <v>2030</v>
      </c>
      <c r="D30" s="481">
        <f>IF(F29+SUM(E$17:E29)=D$10,F29,D$10-SUM(E$17:E29))</f>
        <v>913267.01823126525</v>
      </c>
      <c r="E30" s="482">
        <f t="shared" si="16"/>
        <v>35236.260789473694</v>
      </c>
      <c r="F30" s="483">
        <f t="shared" si="17"/>
        <v>878030.75744179159</v>
      </c>
      <c r="G30" s="484">
        <f t="shared" si="18"/>
        <v>137107.53329745072</v>
      </c>
      <c r="H30" s="453">
        <f t="shared" si="19"/>
        <v>137107.53329745072</v>
      </c>
      <c r="I30" s="473">
        <f t="shared" si="0"/>
        <v>0</v>
      </c>
      <c r="J30" s="473"/>
      <c r="K30" s="485"/>
      <c r="L30" s="476">
        <f t="shared" si="2"/>
        <v>0</v>
      </c>
      <c r="M30" s="485"/>
      <c r="N30" s="476">
        <f t="shared" si="4"/>
        <v>0</v>
      </c>
      <c r="O30" s="476">
        <f t="shared" si="5"/>
        <v>0</v>
      </c>
      <c r="P30" s="241"/>
    </row>
    <row r="31" spans="2:16">
      <c r="B31" s="160" t="str">
        <f t="shared" si="7"/>
        <v/>
      </c>
      <c r="C31" s="470">
        <f>IF(D11="","-",+C30+1)</f>
        <v>2031</v>
      </c>
      <c r="D31" s="481">
        <f>IF(F30+SUM(E$17:E30)=D$10,F30,D$10-SUM(E$17:E30))</f>
        <v>878030.75744179159</v>
      </c>
      <c r="E31" s="482">
        <f t="shared" si="16"/>
        <v>35236.260789473694</v>
      </c>
      <c r="F31" s="483">
        <f t="shared" si="17"/>
        <v>842794.49665231793</v>
      </c>
      <c r="G31" s="484">
        <f t="shared" si="18"/>
        <v>133099.75438565266</v>
      </c>
      <c r="H31" s="453">
        <f t="shared" si="19"/>
        <v>133099.75438565266</v>
      </c>
      <c r="I31" s="473">
        <f t="shared" si="0"/>
        <v>0</v>
      </c>
      <c r="J31" s="473"/>
      <c r="K31" s="485"/>
      <c r="L31" s="476">
        <f t="shared" si="2"/>
        <v>0</v>
      </c>
      <c r="M31" s="485"/>
      <c r="N31" s="476">
        <f t="shared" si="4"/>
        <v>0</v>
      </c>
      <c r="O31" s="476">
        <f t="shared" si="5"/>
        <v>0</v>
      </c>
      <c r="P31" s="241"/>
    </row>
    <row r="32" spans="2:16">
      <c r="B32" s="160" t="str">
        <f t="shared" si="7"/>
        <v/>
      </c>
      <c r="C32" s="470">
        <f>IF(D11="","-",+C31+1)</f>
        <v>2032</v>
      </c>
      <c r="D32" s="481">
        <f>IF(F31+SUM(E$17:E31)=D$10,F31,D$10-SUM(E$17:E31))</f>
        <v>842794.49665231793</v>
      </c>
      <c r="E32" s="482">
        <f t="shared" si="16"/>
        <v>35236.260789473694</v>
      </c>
      <c r="F32" s="483">
        <f t="shared" si="17"/>
        <v>807558.23586284427</v>
      </c>
      <c r="G32" s="484">
        <f t="shared" si="18"/>
        <v>129091.9754738546</v>
      </c>
      <c r="H32" s="453">
        <f t="shared" si="19"/>
        <v>129091.9754738546</v>
      </c>
      <c r="I32" s="473">
        <f t="shared" si="0"/>
        <v>0</v>
      </c>
      <c r="J32" s="473"/>
      <c r="K32" s="485"/>
      <c r="L32" s="476">
        <f t="shared" si="2"/>
        <v>0</v>
      </c>
      <c r="M32" s="485"/>
      <c r="N32" s="476">
        <f t="shared" si="4"/>
        <v>0</v>
      </c>
      <c r="O32" s="476">
        <f t="shared" si="5"/>
        <v>0</v>
      </c>
      <c r="P32" s="241"/>
    </row>
    <row r="33" spans="2:16">
      <c r="B33" s="160" t="str">
        <f t="shared" si="7"/>
        <v/>
      </c>
      <c r="C33" s="470">
        <f>IF(D11="","-",+C32+1)</f>
        <v>2033</v>
      </c>
      <c r="D33" s="481">
        <f>IF(F32+SUM(E$17:E32)=D$10,F32,D$10-SUM(E$17:E32))</f>
        <v>807558.23586284427</v>
      </c>
      <c r="E33" s="482">
        <f t="shared" si="16"/>
        <v>35236.260789473694</v>
      </c>
      <c r="F33" s="483">
        <f t="shared" si="17"/>
        <v>772321.97507337062</v>
      </c>
      <c r="G33" s="484">
        <f t="shared" si="18"/>
        <v>125084.19656205655</v>
      </c>
      <c r="H33" s="453">
        <f t="shared" si="19"/>
        <v>125084.19656205655</v>
      </c>
      <c r="I33" s="473">
        <f t="shared" si="0"/>
        <v>0</v>
      </c>
      <c r="J33" s="473"/>
      <c r="K33" s="485"/>
      <c r="L33" s="476">
        <f t="shared" si="2"/>
        <v>0</v>
      </c>
      <c r="M33" s="485"/>
      <c r="N33" s="476">
        <f t="shared" si="4"/>
        <v>0</v>
      </c>
      <c r="O33" s="476">
        <f t="shared" si="5"/>
        <v>0</v>
      </c>
      <c r="P33" s="241"/>
    </row>
    <row r="34" spans="2:16">
      <c r="B34" s="160" t="str">
        <f t="shared" si="7"/>
        <v/>
      </c>
      <c r="C34" s="470">
        <f>IF(D11="","-",+C33+1)</f>
        <v>2034</v>
      </c>
      <c r="D34" s="481">
        <f>IF(F33+SUM(E$17:E33)=D$10,F33,D$10-SUM(E$17:E33))</f>
        <v>772321.97507337062</v>
      </c>
      <c r="E34" s="482">
        <f t="shared" si="16"/>
        <v>35236.260789473694</v>
      </c>
      <c r="F34" s="483">
        <f t="shared" si="17"/>
        <v>737085.71428389696</v>
      </c>
      <c r="G34" s="484">
        <f t="shared" si="18"/>
        <v>121076.41765025852</v>
      </c>
      <c r="H34" s="453">
        <f t="shared" si="19"/>
        <v>121076.41765025852</v>
      </c>
      <c r="I34" s="473">
        <f t="shared" si="0"/>
        <v>0</v>
      </c>
      <c r="J34" s="473"/>
      <c r="K34" s="485"/>
      <c r="L34" s="476">
        <f t="shared" si="2"/>
        <v>0</v>
      </c>
      <c r="M34" s="485"/>
      <c r="N34" s="476">
        <f t="shared" si="4"/>
        <v>0</v>
      </c>
      <c r="O34" s="476">
        <f t="shared" si="5"/>
        <v>0</v>
      </c>
      <c r="P34" s="241"/>
    </row>
    <row r="35" spans="2:16">
      <c r="B35" s="160" t="str">
        <f t="shared" si="7"/>
        <v/>
      </c>
      <c r="C35" s="470">
        <f>IF(D11="","-",+C34+1)</f>
        <v>2035</v>
      </c>
      <c r="D35" s="481">
        <f>IF(F34+SUM(E$17:E34)=D$10,F34,D$10-SUM(E$17:E34))</f>
        <v>737085.71428389696</v>
      </c>
      <c r="E35" s="482">
        <f t="shared" si="16"/>
        <v>35236.260789473694</v>
      </c>
      <c r="F35" s="483">
        <f t="shared" si="17"/>
        <v>701849.4534944233</v>
      </c>
      <c r="G35" s="484">
        <f t="shared" si="18"/>
        <v>117068.63873846046</v>
      </c>
      <c r="H35" s="453">
        <f t="shared" si="19"/>
        <v>117068.63873846046</v>
      </c>
      <c r="I35" s="473">
        <f t="shared" si="0"/>
        <v>0</v>
      </c>
      <c r="J35" s="473"/>
      <c r="K35" s="485"/>
      <c r="L35" s="476">
        <f t="shared" si="2"/>
        <v>0</v>
      </c>
      <c r="M35" s="485"/>
      <c r="N35" s="476">
        <f t="shared" si="4"/>
        <v>0</v>
      </c>
      <c r="O35" s="476">
        <f t="shared" si="5"/>
        <v>0</v>
      </c>
      <c r="P35" s="241"/>
    </row>
    <row r="36" spans="2:16">
      <c r="B36" s="160" t="str">
        <f t="shared" si="7"/>
        <v/>
      </c>
      <c r="C36" s="470">
        <f>IF(D11="","-",+C35+1)</f>
        <v>2036</v>
      </c>
      <c r="D36" s="481">
        <f>IF(F35+SUM(E$17:E35)=D$10,F35,D$10-SUM(E$17:E35))</f>
        <v>701849.4534944233</v>
      </c>
      <c r="E36" s="482">
        <f t="shared" si="16"/>
        <v>35236.260789473694</v>
      </c>
      <c r="F36" s="483">
        <f t="shared" si="17"/>
        <v>666613.19270494964</v>
      </c>
      <c r="G36" s="484">
        <f t="shared" si="18"/>
        <v>113060.8598266624</v>
      </c>
      <c r="H36" s="453">
        <f t="shared" si="19"/>
        <v>113060.8598266624</v>
      </c>
      <c r="I36" s="473">
        <f t="shared" si="0"/>
        <v>0</v>
      </c>
      <c r="J36" s="473"/>
      <c r="K36" s="485"/>
      <c r="L36" s="476">
        <f t="shared" si="2"/>
        <v>0</v>
      </c>
      <c r="M36" s="485"/>
      <c r="N36" s="476">
        <f t="shared" si="4"/>
        <v>0</v>
      </c>
      <c r="O36" s="476">
        <f t="shared" si="5"/>
        <v>0</v>
      </c>
      <c r="P36" s="241"/>
    </row>
    <row r="37" spans="2:16">
      <c r="B37" s="160" t="str">
        <f t="shared" si="7"/>
        <v/>
      </c>
      <c r="C37" s="470">
        <f>IF(D11="","-",+C36+1)</f>
        <v>2037</v>
      </c>
      <c r="D37" s="481">
        <f>IF(F36+SUM(E$17:E36)=D$10,F36,D$10-SUM(E$17:E36))</f>
        <v>666613.19270494964</v>
      </c>
      <c r="E37" s="482">
        <f t="shared" si="16"/>
        <v>35236.260789473694</v>
      </c>
      <c r="F37" s="483">
        <f t="shared" si="17"/>
        <v>631376.93191547599</v>
      </c>
      <c r="G37" s="484">
        <f t="shared" si="18"/>
        <v>109053.08091486435</v>
      </c>
      <c r="H37" s="453">
        <f t="shared" si="19"/>
        <v>109053.08091486435</v>
      </c>
      <c r="I37" s="473">
        <f t="shared" si="0"/>
        <v>0</v>
      </c>
      <c r="J37" s="473"/>
      <c r="K37" s="485"/>
      <c r="L37" s="476">
        <f t="shared" si="2"/>
        <v>0</v>
      </c>
      <c r="M37" s="485"/>
      <c r="N37" s="476">
        <f t="shared" si="4"/>
        <v>0</v>
      </c>
      <c r="O37" s="476">
        <f t="shared" si="5"/>
        <v>0</v>
      </c>
      <c r="P37" s="241"/>
    </row>
    <row r="38" spans="2:16">
      <c r="B38" s="160" t="str">
        <f t="shared" si="7"/>
        <v/>
      </c>
      <c r="C38" s="470">
        <f>IF(D11="","-",+C37+1)</f>
        <v>2038</v>
      </c>
      <c r="D38" s="481">
        <f>IF(F37+SUM(E$17:E37)=D$10,F37,D$10-SUM(E$17:E37))</f>
        <v>631376.93191547599</v>
      </c>
      <c r="E38" s="482">
        <f t="shared" si="16"/>
        <v>35236.260789473694</v>
      </c>
      <c r="F38" s="483">
        <f t="shared" si="17"/>
        <v>596140.67112600233</v>
      </c>
      <c r="G38" s="484">
        <f t="shared" si="18"/>
        <v>105045.30200306632</v>
      </c>
      <c r="H38" s="453">
        <f t="shared" si="19"/>
        <v>105045.30200306632</v>
      </c>
      <c r="I38" s="473">
        <f t="shared" si="0"/>
        <v>0</v>
      </c>
      <c r="J38" s="473"/>
      <c r="K38" s="485"/>
      <c r="L38" s="476">
        <f t="shared" si="2"/>
        <v>0</v>
      </c>
      <c r="M38" s="485"/>
      <c r="N38" s="476">
        <f t="shared" si="4"/>
        <v>0</v>
      </c>
      <c r="O38" s="476">
        <f t="shared" si="5"/>
        <v>0</v>
      </c>
      <c r="P38" s="241"/>
    </row>
    <row r="39" spans="2:16">
      <c r="B39" s="160" t="str">
        <f t="shared" si="7"/>
        <v/>
      </c>
      <c r="C39" s="470">
        <f>IF(D11="","-",+C38+1)</f>
        <v>2039</v>
      </c>
      <c r="D39" s="481">
        <f>IF(F38+SUM(E$17:E38)=D$10,F38,D$10-SUM(E$17:E38))</f>
        <v>596140.67112600233</v>
      </c>
      <c r="E39" s="482">
        <f t="shared" si="16"/>
        <v>35236.260789473694</v>
      </c>
      <c r="F39" s="483">
        <f t="shared" si="17"/>
        <v>560904.41033652867</v>
      </c>
      <c r="G39" s="484">
        <f t="shared" si="18"/>
        <v>101037.52309126826</v>
      </c>
      <c r="H39" s="453">
        <f t="shared" si="19"/>
        <v>101037.52309126826</v>
      </c>
      <c r="I39" s="473">
        <f t="shared" si="0"/>
        <v>0</v>
      </c>
      <c r="J39" s="473"/>
      <c r="K39" s="485"/>
      <c r="L39" s="476">
        <f t="shared" si="2"/>
        <v>0</v>
      </c>
      <c r="M39" s="485"/>
      <c r="N39" s="476">
        <f t="shared" si="4"/>
        <v>0</v>
      </c>
      <c r="O39" s="476">
        <f t="shared" si="5"/>
        <v>0</v>
      </c>
      <c r="P39" s="241"/>
    </row>
    <row r="40" spans="2:16">
      <c r="B40" s="160" t="str">
        <f t="shared" si="7"/>
        <v/>
      </c>
      <c r="C40" s="470">
        <f>IF(D11="","-",+C39+1)</f>
        <v>2040</v>
      </c>
      <c r="D40" s="481">
        <f>IF(F39+SUM(E$17:E39)=D$10,F39,D$10-SUM(E$17:E39))</f>
        <v>560904.41033652867</v>
      </c>
      <c r="E40" s="482">
        <f t="shared" si="16"/>
        <v>35236.260789473694</v>
      </c>
      <c r="F40" s="483">
        <f t="shared" si="17"/>
        <v>525668.14954705501</v>
      </c>
      <c r="G40" s="484">
        <f t="shared" si="18"/>
        <v>97029.744179470203</v>
      </c>
      <c r="H40" s="453">
        <f t="shared" si="19"/>
        <v>97029.744179470203</v>
      </c>
      <c r="I40" s="473">
        <f t="shared" si="0"/>
        <v>0</v>
      </c>
      <c r="J40" s="473"/>
      <c r="K40" s="485"/>
      <c r="L40" s="476">
        <f t="shared" si="2"/>
        <v>0</v>
      </c>
      <c r="M40" s="485"/>
      <c r="N40" s="476">
        <f t="shared" si="4"/>
        <v>0</v>
      </c>
      <c r="O40" s="476">
        <f t="shared" si="5"/>
        <v>0</v>
      </c>
      <c r="P40" s="241"/>
    </row>
    <row r="41" spans="2:16">
      <c r="B41" s="160" t="str">
        <f t="shared" si="7"/>
        <v/>
      </c>
      <c r="C41" s="470">
        <f>IF(D11="","-",+C40+1)</f>
        <v>2041</v>
      </c>
      <c r="D41" s="481">
        <f>IF(F40+SUM(E$17:E40)=D$10,F40,D$10-SUM(E$17:E40))</f>
        <v>525668.14954705501</v>
      </c>
      <c r="E41" s="482">
        <f t="shared" si="16"/>
        <v>35236.260789473694</v>
      </c>
      <c r="F41" s="483">
        <f t="shared" si="17"/>
        <v>490431.8887575813</v>
      </c>
      <c r="G41" s="484">
        <f t="shared" si="18"/>
        <v>93021.965267672145</v>
      </c>
      <c r="H41" s="453">
        <f t="shared" si="19"/>
        <v>93021.965267672145</v>
      </c>
      <c r="I41" s="473">
        <f t="shared" si="0"/>
        <v>0</v>
      </c>
      <c r="J41" s="473"/>
      <c r="K41" s="485"/>
      <c r="L41" s="476">
        <f t="shared" si="2"/>
        <v>0</v>
      </c>
      <c r="M41" s="485"/>
      <c r="N41" s="476">
        <f t="shared" si="4"/>
        <v>0</v>
      </c>
      <c r="O41" s="476">
        <f t="shared" si="5"/>
        <v>0</v>
      </c>
      <c r="P41" s="241"/>
    </row>
    <row r="42" spans="2:16">
      <c r="B42" s="160" t="str">
        <f t="shared" si="7"/>
        <v/>
      </c>
      <c r="C42" s="470">
        <f>IF(D11="","-",+C41+1)</f>
        <v>2042</v>
      </c>
      <c r="D42" s="481">
        <f>IF(F41+SUM(E$17:E41)=D$10,F41,D$10-SUM(E$17:E41))</f>
        <v>490431.8887575813</v>
      </c>
      <c r="E42" s="482">
        <f t="shared" si="16"/>
        <v>35236.260789473694</v>
      </c>
      <c r="F42" s="483">
        <f t="shared" si="17"/>
        <v>455195.62796810758</v>
      </c>
      <c r="G42" s="484">
        <f t="shared" si="18"/>
        <v>89014.186355874088</v>
      </c>
      <c r="H42" s="453">
        <f t="shared" si="19"/>
        <v>89014.186355874088</v>
      </c>
      <c r="I42" s="473">
        <f t="shared" si="0"/>
        <v>0</v>
      </c>
      <c r="J42" s="473"/>
      <c r="K42" s="485"/>
      <c r="L42" s="476">
        <f t="shared" si="2"/>
        <v>0</v>
      </c>
      <c r="M42" s="485"/>
      <c r="N42" s="476">
        <f t="shared" si="4"/>
        <v>0</v>
      </c>
      <c r="O42" s="476">
        <f t="shared" si="5"/>
        <v>0</v>
      </c>
      <c r="P42" s="241"/>
    </row>
    <row r="43" spans="2:16">
      <c r="B43" s="160" t="str">
        <f t="shared" si="7"/>
        <v/>
      </c>
      <c r="C43" s="470">
        <f>IF(D11="","-",+C42+1)</f>
        <v>2043</v>
      </c>
      <c r="D43" s="481">
        <f>IF(F42+SUM(E$17:E42)=D$10,F42,D$10-SUM(E$17:E42))</f>
        <v>455195.62796810758</v>
      </c>
      <c r="E43" s="482">
        <f t="shared" si="16"/>
        <v>35236.260789473694</v>
      </c>
      <c r="F43" s="483">
        <f t="shared" si="17"/>
        <v>419959.36717863387</v>
      </c>
      <c r="G43" s="484">
        <f t="shared" si="18"/>
        <v>85006.407444076031</v>
      </c>
      <c r="H43" s="453">
        <f t="shared" si="19"/>
        <v>85006.407444076031</v>
      </c>
      <c r="I43" s="473">
        <f t="shared" si="0"/>
        <v>0</v>
      </c>
      <c r="J43" s="473"/>
      <c r="K43" s="485"/>
      <c r="L43" s="476">
        <f t="shared" si="2"/>
        <v>0</v>
      </c>
      <c r="M43" s="485"/>
      <c r="N43" s="476">
        <f t="shared" si="4"/>
        <v>0</v>
      </c>
      <c r="O43" s="476">
        <f t="shared" si="5"/>
        <v>0</v>
      </c>
      <c r="P43" s="241"/>
    </row>
    <row r="44" spans="2:16">
      <c r="B44" s="160" t="str">
        <f t="shared" si="7"/>
        <v/>
      </c>
      <c r="C44" s="470">
        <f>IF(D11="","-",+C43+1)</f>
        <v>2044</v>
      </c>
      <c r="D44" s="481">
        <f>IF(F43+SUM(E$17:E43)=D$10,F43,D$10-SUM(E$17:E43))</f>
        <v>419959.36717863387</v>
      </c>
      <c r="E44" s="482">
        <f t="shared" si="16"/>
        <v>35236.260789473694</v>
      </c>
      <c r="F44" s="483">
        <f t="shared" si="17"/>
        <v>384723.10638916015</v>
      </c>
      <c r="G44" s="484">
        <f t="shared" si="18"/>
        <v>80998.628532277973</v>
      </c>
      <c r="H44" s="453">
        <f t="shared" si="19"/>
        <v>80998.628532277973</v>
      </c>
      <c r="I44" s="473">
        <f t="shared" si="0"/>
        <v>0</v>
      </c>
      <c r="J44" s="473"/>
      <c r="K44" s="485"/>
      <c r="L44" s="476">
        <f t="shared" si="2"/>
        <v>0</v>
      </c>
      <c r="M44" s="485"/>
      <c r="N44" s="476">
        <f t="shared" si="4"/>
        <v>0</v>
      </c>
      <c r="O44" s="476">
        <f t="shared" si="5"/>
        <v>0</v>
      </c>
      <c r="P44" s="241"/>
    </row>
    <row r="45" spans="2:16">
      <c r="B45" s="160" t="str">
        <f t="shared" si="7"/>
        <v/>
      </c>
      <c r="C45" s="470">
        <f>IF(D11="","-",+C44+1)</f>
        <v>2045</v>
      </c>
      <c r="D45" s="481">
        <f>IF(F44+SUM(E$17:E44)=D$10,F44,D$10-SUM(E$17:E44))</f>
        <v>384723.10638916015</v>
      </c>
      <c r="E45" s="482">
        <f t="shared" si="16"/>
        <v>35236.260789473694</v>
      </c>
      <c r="F45" s="483">
        <f t="shared" si="17"/>
        <v>349486.84559968644</v>
      </c>
      <c r="G45" s="484">
        <f t="shared" si="18"/>
        <v>76990.849620479916</v>
      </c>
      <c r="H45" s="453">
        <f t="shared" si="19"/>
        <v>76990.849620479916</v>
      </c>
      <c r="I45" s="473">
        <f t="shared" si="0"/>
        <v>0</v>
      </c>
      <c r="J45" s="473"/>
      <c r="K45" s="485"/>
      <c r="L45" s="476">
        <f t="shared" si="2"/>
        <v>0</v>
      </c>
      <c r="M45" s="485"/>
      <c r="N45" s="476">
        <f t="shared" si="4"/>
        <v>0</v>
      </c>
      <c r="O45" s="476">
        <f t="shared" si="5"/>
        <v>0</v>
      </c>
      <c r="P45" s="241"/>
    </row>
    <row r="46" spans="2:16">
      <c r="B46" s="160" t="str">
        <f t="shared" si="7"/>
        <v/>
      </c>
      <c r="C46" s="470">
        <f>IF(D11="","-",+C45+1)</f>
        <v>2046</v>
      </c>
      <c r="D46" s="481">
        <f>IF(F45+SUM(E$17:E45)=D$10,F45,D$10-SUM(E$17:E45))</f>
        <v>349486.84559968644</v>
      </c>
      <c r="E46" s="482">
        <f t="shared" si="16"/>
        <v>35236.260789473694</v>
      </c>
      <c r="F46" s="483">
        <f t="shared" si="17"/>
        <v>314250.58481021272</v>
      </c>
      <c r="G46" s="484">
        <f t="shared" si="18"/>
        <v>72983.070708681858</v>
      </c>
      <c r="H46" s="453">
        <f t="shared" si="19"/>
        <v>72983.070708681858</v>
      </c>
      <c r="I46" s="473">
        <f t="shared" si="0"/>
        <v>0</v>
      </c>
      <c r="J46" s="473"/>
      <c r="K46" s="485"/>
      <c r="L46" s="476">
        <f t="shared" si="2"/>
        <v>0</v>
      </c>
      <c r="M46" s="485"/>
      <c r="N46" s="476">
        <f t="shared" si="4"/>
        <v>0</v>
      </c>
      <c r="O46" s="476">
        <f t="shared" si="5"/>
        <v>0</v>
      </c>
      <c r="P46" s="241"/>
    </row>
    <row r="47" spans="2:16">
      <c r="B47" s="160" t="str">
        <f t="shared" si="7"/>
        <v/>
      </c>
      <c r="C47" s="470">
        <f>IF(D11="","-",+C46+1)</f>
        <v>2047</v>
      </c>
      <c r="D47" s="481">
        <f>IF(F46+SUM(E$17:E46)=D$10,F46,D$10-SUM(E$17:E46))</f>
        <v>314250.58481021272</v>
      </c>
      <c r="E47" s="482">
        <f t="shared" si="16"/>
        <v>35236.260789473694</v>
      </c>
      <c r="F47" s="483">
        <f t="shared" si="17"/>
        <v>279014.324020739</v>
      </c>
      <c r="G47" s="484">
        <f t="shared" si="18"/>
        <v>68975.291796883801</v>
      </c>
      <c r="H47" s="453">
        <f t="shared" si="19"/>
        <v>68975.291796883801</v>
      </c>
      <c r="I47" s="473">
        <f t="shared" si="0"/>
        <v>0</v>
      </c>
      <c r="J47" s="473"/>
      <c r="K47" s="485"/>
      <c r="L47" s="476">
        <f t="shared" si="2"/>
        <v>0</v>
      </c>
      <c r="M47" s="485"/>
      <c r="N47" s="476">
        <f t="shared" si="4"/>
        <v>0</v>
      </c>
      <c r="O47" s="476">
        <f t="shared" si="5"/>
        <v>0</v>
      </c>
      <c r="P47" s="241"/>
    </row>
    <row r="48" spans="2:16">
      <c r="B48" s="160" t="str">
        <f t="shared" si="7"/>
        <v/>
      </c>
      <c r="C48" s="470">
        <f>IF(D11="","-",+C47+1)</f>
        <v>2048</v>
      </c>
      <c r="D48" s="481">
        <f>IF(F47+SUM(E$17:E47)=D$10,F47,D$10-SUM(E$17:E47))</f>
        <v>279014.324020739</v>
      </c>
      <c r="E48" s="482">
        <f t="shared" si="16"/>
        <v>35236.260789473694</v>
      </c>
      <c r="F48" s="483">
        <f t="shared" si="17"/>
        <v>243778.06323126532</v>
      </c>
      <c r="G48" s="484">
        <f t="shared" si="18"/>
        <v>64967.512885085751</v>
      </c>
      <c r="H48" s="453">
        <f t="shared" si="19"/>
        <v>64967.512885085751</v>
      </c>
      <c r="I48" s="473">
        <f t="shared" si="0"/>
        <v>0</v>
      </c>
      <c r="J48" s="473"/>
      <c r="K48" s="485"/>
      <c r="L48" s="476">
        <f t="shared" si="2"/>
        <v>0</v>
      </c>
      <c r="M48" s="485"/>
      <c r="N48" s="476">
        <f t="shared" si="4"/>
        <v>0</v>
      </c>
      <c r="O48" s="476">
        <f t="shared" si="5"/>
        <v>0</v>
      </c>
      <c r="P48" s="241"/>
    </row>
    <row r="49" spans="2:16">
      <c r="B49" s="160" t="str">
        <f t="shared" si="7"/>
        <v/>
      </c>
      <c r="C49" s="470">
        <f>IF(D11="","-",+C48+1)</f>
        <v>2049</v>
      </c>
      <c r="D49" s="481">
        <f>IF(F48+SUM(E$17:E48)=D$10,F48,D$10-SUM(E$17:E48))</f>
        <v>243778.06323126532</v>
      </c>
      <c r="E49" s="482">
        <f t="shared" si="16"/>
        <v>35236.260789473694</v>
      </c>
      <c r="F49" s="483">
        <f t="shared" si="17"/>
        <v>208541.80244179163</v>
      </c>
      <c r="G49" s="484">
        <f t="shared" si="18"/>
        <v>60959.733973287694</v>
      </c>
      <c r="H49" s="453">
        <f t="shared" si="19"/>
        <v>60959.733973287694</v>
      </c>
      <c r="I49" s="473">
        <f t="shared" si="0"/>
        <v>0</v>
      </c>
      <c r="J49" s="473"/>
      <c r="K49" s="485"/>
      <c r="L49" s="476">
        <f t="shared" si="2"/>
        <v>0</v>
      </c>
      <c r="M49" s="485"/>
      <c r="N49" s="476">
        <f t="shared" si="4"/>
        <v>0</v>
      </c>
      <c r="O49" s="476">
        <f t="shared" si="5"/>
        <v>0</v>
      </c>
      <c r="P49" s="241"/>
    </row>
    <row r="50" spans="2:16">
      <c r="B50" s="160" t="str">
        <f t="shared" si="7"/>
        <v/>
      </c>
      <c r="C50" s="470">
        <f>IF(D11="","-",+C49+1)</f>
        <v>2050</v>
      </c>
      <c r="D50" s="481">
        <f>IF(F49+SUM(E$17:E49)=D$10,F49,D$10-SUM(E$17:E49))</f>
        <v>208541.80244179163</v>
      </c>
      <c r="E50" s="482">
        <f t="shared" si="16"/>
        <v>35236.260789473694</v>
      </c>
      <c r="F50" s="483">
        <f t="shared" si="17"/>
        <v>173305.54165231794</v>
      </c>
      <c r="G50" s="484">
        <f t="shared" si="18"/>
        <v>56951.955061489643</v>
      </c>
      <c r="H50" s="453">
        <f t="shared" si="19"/>
        <v>56951.955061489643</v>
      </c>
      <c r="I50" s="473">
        <f t="shared" si="0"/>
        <v>0</v>
      </c>
      <c r="J50" s="473"/>
      <c r="K50" s="485"/>
      <c r="L50" s="476">
        <f t="shared" si="2"/>
        <v>0</v>
      </c>
      <c r="M50" s="485"/>
      <c r="N50" s="476">
        <f t="shared" si="4"/>
        <v>0</v>
      </c>
      <c r="O50" s="476">
        <f t="shared" si="5"/>
        <v>0</v>
      </c>
      <c r="P50" s="241"/>
    </row>
    <row r="51" spans="2:16">
      <c r="B51" s="160" t="str">
        <f t="shared" si="7"/>
        <v/>
      </c>
      <c r="C51" s="470">
        <f>IF(D11="","-",+C50+1)</f>
        <v>2051</v>
      </c>
      <c r="D51" s="481">
        <f>IF(F50+SUM(E$17:E50)=D$10,F50,D$10-SUM(E$17:E50))</f>
        <v>173305.54165231794</v>
      </c>
      <c r="E51" s="482">
        <f t="shared" si="16"/>
        <v>35236.260789473694</v>
      </c>
      <c r="F51" s="483">
        <f t="shared" si="17"/>
        <v>138069.28086284426</v>
      </c>
      <c r="G51" s="484">
        <f t="shared" si="18"/>
        <v>52944.176149691586</v>
      </c>
      <c r="H51" s="453">
        <f t="shared" si="19"/>
        <v>52944.176149691586</v>
      </c>
      <c r="I51" s="473">
        <f t="shared" si="0"/>
        <v>0</v>
      </c>
      <c r="J51" s="473"/>
      <c r="K51" s="485"/>
      <c r="L51" s="476">
        <f t="shared" si="2"/>
        <v>0</v>
      </c>
      <c r="M51" s="485"/>
      <c r="N51" s="476">
        <f t="shared" si="4"/>
        <v>0</v>
      </c>
      <c r="O51" s="476">
        <f t="shared" si="5"/>
        <v>0</v>
      </c>
      <c r="P51" s="241"/>
    </row>
    <row r="52" spans="2:16">
      <c r="B52" s="160" t="str">
        <f t="shared" si="7"/>
        <v/>
      </c>
      <c r="C52" s="470">
        <f>IF(D11="","-",+C51+1)</f>
        <v>2052</v>
      </c>
      <c r="D52" s="481">
        <f>IF(F51+SUM(E$17:E51)=D$10,F51,D$10-SUM(E$17:E51))</f>
        <v>138069.28086284426</v>
      </c>
      <c r="E52" s="482">
        <f t="shared" si="16"/>
        <v>35236.260789473694</v>
      </c>
      <c r="F52" s="483">
        <f t="shared" si="17"/>
        <v>102833.02007337057</v>
      </c>
      <c r="G52" s="484">
        <f t="shared" si="18"/>
        <v>48936.397237893529</v>
      </c>
      <c r="H52" s="453">
        <f t="shared" si="19"/>
        <v>48936.397237893529</v>
      </c>
      <c r="I52" s="473">
        <f t="shared" si="0"/>
        <v>0</v>
      </c>
      <c r="J52" s="473"/>
      <c r="K52" s="485"/>
      <c r="L52" s="476">
        <f t="shared" si="2"/>
        <v>0</v>
      </c>
      <c r="M52" s="485"/>
      <c r="N52" s="476">
        <f t="shared" si="4"/>
        <v>0</v>
      </c>
      <c r="O52" s="476">
        <f t="shared" si="5"/>
        <v>0</v>
      </c>
      <c r="P52" s="241"/>
    </row>
    <row r="53" spans="2:16">
      <c r="B53" s="160" t="str">
        <f t="shared" si="7"/>
        <v/>
      </c>
      <c r="C53" s="470">
        <f>IF(D11="","-",+C52+1)</f>
        <v>2053</v>
      </c>
      <c r="D53" s="481">
        <f>IF(F52+SUM(E$17:E52)=D$10,F52,D$10-SUM(E$17:E52))</f>
        <v>102833.02007337057</v>
      </c>
      <c r="E53" s="482">
        <f t="shared" si="16"/>
        <v>35236.260789473694</v>
      </c>
      <c r="F53" s="483">
        <f t="shared" si="17"/>
        <v>67596.759283896885</v>
      </c>
      <c r="G53" s="484">
        <f t="shared" si="18"/>
        <v>44928.618326095479</v>
      </c>
      <c r="H53" s="453">
        <f t="shared" si="19"/>
        <v>44928.618326095479</v>
      </c>
      <c r="I53" s="473">
        <f t="shared" si="0"/>
        <v>0</v>
      </c>
      <c r="J53" s="473"/>
      <c r="K53" s="485"/>
      <c r="L53" s="476">
        <f t="shared" si="2"/>
        <v>0</v>
      </c>
      <c r="M53" s="485"/>
      <c r="N53" s="476">
        <f t="shared" si="4"/>
        <v>0</v>
      </c>
      <c r="O53" s="476">
        <f t="shared" si="5"/>
        <v>0</v>
      </c>
      <c r="P53" s="241"/>
    </row>
    <row r="54" spans="2:16">
      <c r="B54" s="160" t="str">
        <f t="shared" si="7"/>
        <v/>
      </c>
      <c r="C54" s="470">
        <f>IF(D11="","-",+C53+1)</f>
        <v>2054</v>
      </c>
      <c r="D54" s="481">
        <f>IF(F53+SUM(E$17:E53)=D$10,F53,D$10-SUM(E$17:E53))</f>
        <v>67596.759283896885</v>
      </c>
      <c r="E54" s="482">
        <f t="shared" si="16"/>
        <v>35236.260789473694</v>
      </c>
      <c r="F54" s="483">
        <f t="shared" si="17"/>
        <v>32360.498494423191</v>
      </c>
      <c r="G54" s="484">
        <f t="shared" si="18"/>
        <v>40920.839414297421</v>
      </c>
      <c r="H54" s="453">
        <f t="shared" si="19"/>
        <v>40920.839414297421</v>
      </c>
      <c r="I54" s="473">
        <f t="shared" si="0"/>
        <v>0</v>
      </c>
      <c r="J54" s="473"/>
      <c r="K54" s="485"/>
      <c r="L54" s="476">
        <f t="shared" si="2"/>
        <v>0</v>
      </c>
      <c r="M54" s="485"/>
      <c r="N54" s="476">
        <f t="shared" si="4"/>
        <v>0</v>
      </c>
      <c r="O54" s="476">
        <f t="shared" si="5"/>
        <v>0</v>
      </c>
      <c r="P54" s="241"/>
    </row>
    <row r="55" spans="2:16">
      <c r="B55" s="160" t="str">
        <f t="shared" si="7"/>
        <v/>
      </c>
      <c r="C55" s="470">
        <f>IF(D11="","-",+C54+1)</f>
        <v>2055</v>
      </c>
      <c r="D55" s="481">
        <f>IF(F54+SUM(E$17:E54)=D$10,F54,D$10-SUM(E$17:E54))</f>
        <v>32360.498494423191</v>
      </c>
      <c r="E55" s="482">
        <f t="shared" si="16"/>
        <v>32360.498494423191</v>
      </c>
      <c r="F55" s="483">
        <f t="shared" si="17"/>
        <v>0</v>
      </c>
      <c r="G55" s="484">
        <f t="shared" si="18"/>
        <v>34200.84307888554</v>
      </c>
      <c r="H55" s="453">
        <f t="shared" si="19"/>
        <v>34200.84307888554</v>
      </c>
      <c r="I55" s="473">
        <f t="shared" si="0"/>
        <v>0</v>
      </c>
      <c r="J55" s="473"/>
      <c r="K55" s="485"/>
      <c r="L55" s="476">
        <f t="shared" si="2"/>
        <v>0</v>
      </c>
      <c r="M55" s="485"/>
      <c r="N55" s="476">
        <f t="shared" si="4"/>
        <v>0</v>
      </c>
      <c r="O55" s="476">
        <f t="shared" si="5"/>
        <v>0</v>
      </c>
      <c r="P55" s="241"/>
    </row>
    <row r="56" spans="2:16">
      <c r="B56" s="160" t="str">
        <f t="shared" si="7"/>
        <v/>
      </c>
      <c r="C56" s="470">
        <f>IF(D11="","-",+C55+1)</f>
        <v>2056</v>
      </c>
      <c r="D56" s="481">
        <f>IF(F55+SUM(E$17:E55)=D$10,F55,D$10-SUM(E$17:E55))</f>
        <v>0</v>
      </c>
      <c r="E56" s="482">
        <f t="shared" si="16"/>
        <v>0</v>
      </c>
      <c r="F56" s="483">
        <f t="shared" si="17"/>
        <v>0</v>
      </c>
      <c r="G56" s="484">
        <f t="shared" si="18"/>
        <v>0</v>
      </c>
      <c r="H56" s="453">
        <f t="shared" si="19"/>
        <v>0</v>
      </c>
      <c r="I56" s="473">
        <f t="shared" si="0"/>
        <v>0</v>
      </c>
      <c r="J56" s="473"/>
      <c r="K56" s="485"/>
      <c r="L56" s="476">
        <f t="shared" si="2"/>
        <v>0</v>
      </c>
      <c r="M56" s="485"/>
      <c r="N56" s="476">
        <f t="shared" si="4"/>
        <v>0</v>
      </c>
      <c r="O56" s="476">
        <f t="shared" si="5"/>
        <v>0</v>
      </c>
      <c r="P56" s="241"/>
    </row>
    <row r="57" spans="2:16">
      <c r="B57" s="160" t="str">
        <f t="shared" si="7"/>
        <v/>
      </c>
      <c r="C57" s="470">
        <f>IF(D11="","-",+C56+1)</f>
        <v>2057</v>
      </c>
      <c r="D57" s="481">
        <f>IF(F56+SUM(E$17:E56)=D$10,F56,D$10-SUM(E$17:E56))</f>
        <v>0</v>
      </c>
      <c r="E57" s="482">
        <f t="shared" si="16"/>
        <v>0</v>
      </c>
      <c r="F57" s="483">
        <f t="shared" si="17"/>
        <v>0</v>
      </c>
      <c r="G57" s="484">
        <f t="shared" si="18"/>
        <v>0</v>
      </c>
      <c r="H57" s="453">
        <f t="shared" si="19"/>
        <v>0</v>
      </c>
      <c r="I57" s="473">
        <f t="shared" si="0"/>
        <v>0</v>
      </c>
      <c r="J57" s="473"/>
      <c r="K57" s="485"/>
      <c r="L57" s="476">
        <f t="shared" si="2"/>
        <v>0</v>
      </c>
      <c r="M57" s="485"/>
      <c r="N57" s="476">
        <f t="shared" si="4"/>
        <v>0</v>
      </c>
      <c r="O57" s="476">
        <f t="shared" si="5"/>
        <v>0</v>
      </c>
      <c r="P57" s="241"/>
    </row>
    <row r="58" spans="2:16">
      <c r="B58" s="160" t="str">
        <f t="shared" si="7"/>
        <v/>
      </c>
      <c r="C58" s="470">
        <f>IF(D11="","-",+C57+1)</f>
        <v>2058</v>
      </c>
      <c r="D58" s="481">
        <f>IF(F57+SUM(E$17:E57)=D$10,F57,D$10-SUM(E$17:E57))</f>
        <v>0</v>
      </c>
      <c r="E58" s="482">
        <f t="shared" si="16"/>
        <v>0</v>
      </c>
      <c r="F58" s="483">
        <f t="shared" si="17"/>
        <v>0</v>
      </c>
      <c r="G58" s="484">
        <f t="shared" si="18"/>
        <v>0</v>
      </c>
      <c r="H58" s="453">
        <f t="shared" si="19"/>
        <v>0</v>
      </c>
      <c r="I58" s="473">
        <f t="shared" si="0"/>
        <v>0</v>
      </c>
      <c r="J58" s="473"/>
      <c r="K58" s="485"/>
      <c r="L58" s="476">
        <f t="shared" si="2"/>
        <v>0</v>
      </c>
      <c r="M58" s="485"/>
      <c r="N58" s="476">
        <f t="shared" si="4"/>
        <v>0</v>
      </c>
      <c r="O58" s="476">
        <f t="shared" si="5"/>
        <v>0</v>
      </c>
      <c r="P58" s="241"/>
    </row>
    <row r="59" spans="2:16">
      <c r="B59" s="160" t="str">
        <f t="shared" si="7"/>
        <v/>
      </c>
      <c r="C59" s="470">
        <f>IF(D11="","-",+C58+1)</f>
        <v>2059</v>
      </c>
      <c r="D59" s="481">
        <f>IF(F58+SUM(E$17:E58)=D$10,F58,D$10-SUM(E$17:E58))</f>
        <v>0</v>
      </c>
      <c r="E59" s="482">
        <f t="shared" si="16"/>
        <v>0</v>
      </c>
      <c r="F59" s="483">
        <f t="shared" si="17"/>
        <v>0</v>
      </c>
      <c r="G59" s="484">
        <f t="shared" si="18"/>
        <v>0</v>
      </c>
      <c r="H59" s="453">
        <f t="shared" si="19"/>
        <v>0</v>
      </c>
      <c r="I59" s="473">
        <f t="shared" si="0"/>
        <v>0</v>
      </c>
      <c r="J59" s="473"/>
      <c r="K59" s="485"/>
      <c r="L59" s="476">
        <f t="shared" si="2"/>
        <v>0</v>
      </c>
      <c r="M59" s="485"/>
      <c r="N59" s="476">
        <f t="shared" si="4"/>
        <v>0</v>
      </c>
      <c r="O59" s="476">
        <f t="shared" si="5"/>
        <v>0</v>
      </c>
      <c r="P59" s="241"/>
    </row>
    <row r="60" spans="2:16">
      <c r="B60" s="160" t="str">
        <f t="shared" si="7"/>
        <v/>
      </c>
      <c r="C60" s="470">
        <f>IF(D11="","-",+C59+1)</f>
        <v>2060</v>
      </c>
      <c r="D60" s="481">
        <f>IF(F59+SUM(E$17:E59)=D$10,F59,D$10-SUM(E$17:E59))</f>
        <v>0</v>
      </c>
      <c r="E60" s="482">
        <f t="shared" si="16"/>
        <v>0</v>
      </c>
      <c r="F60" s="483">
        <f t="shared" si="17"/>
        <v>0</v>
      </c>
      <c r="G60" s="484">
        <f t="shared" si="18"/>
        <v>0</v>
      </c>
      <c r="H60" s="453">
        <f t="shared" si="19"/>
        <v>0</v>
      </c>
      <c r="I60" s="473">
        <f t="shared" si="0"/>
        <v>0</v>
      </c>
      <c r="J60" s="473"/>
      <c r="K60" s="485"/>
      <c r="L60" s="476">
        <f t="shared" si="2"/>
        <v>0</v>
      </c>
      <c r="M60" s="485"/>
      <c r="N60" s="476">
        <f t="shared" si="4"/>
        <v>0</v>
      </c>
      <c r="O60" s="476">
        <f t="shared" si="5"/>
        <v>0</v>
      </c>
      <c r="P60" s="241"/>
    </row>
    <row r="61" spans="2:16">
      <c r="B61" s="160" t="str">
        <f t="shared" si="7"/>
        <v/>
      </c>
      <c r="C61" s="470">
        <f>IF(D11="","-",+C60+1)</f>
        <v>2061</v>
      </c>
      <c r="D61" s="481">
        <f>IF(F60+SUM(E$17:E60)=D$10,F60,D$10-SUM(E$17:E60))</f>
        <v>0</v>
      </c>
      <c r="E61" s="482">
        <f t="shared" si="16"/>
        <v>0</v>
      </c>
      <c r="F61" s="483">
        <f t="shared" si="17"/>
        <v>0</v>
      </c>
      <c r="G61" s="484">
        <f t="shared" si="18"/>
        <v>0</v>
      </c>
      <c r="H61" s="453">
        <f t="shared" si="19"/>
        <v>0</v>
      </c>
      <c r="I61" s="473">
        <f t="shared" si="0"/>
        <v>0</v>
      </c>
      <c r="J61" s="473"/>
      <c r="K61" s="485"/>
      <c r="L61" s="476">
        <f t="shared" si="2"/>
        <v>0</v>
      </c>
      <c r="M61" s="485"/>
      <c r="N61" s="476">
        <f t="shared" si="4"/>
        <v>0</v>
      </c>
      <c r="O61" s="476">
        <f t="shared" si="5"/>
        <v>0</v>
      </c>
      <c r="P61" s="241"/>
    </row>
    <row r="62" spans="2:16">
      <c r="B62" s="160" t="str">
        <f t="shared" si="7"/>
        <v/>
      </c>
      <c r="C62" s="470">
        <f>IF(D11="","-",+C61+1)</f>
        <v>2062</v>
      </c>
      <c r="D62" s="481">
        <f>IF(F61+SUM(E$17:E61)=D$10,F61,D$10-SUM(E$17:E61))</f>
        <v>0</v>
      </c>
      <c r="E62" s="482">
        <f t="shared" si="16"/>
        <v>0</v>
      </c>
      <c r="F62" s="483">
        <f t="shared" si="17"/>
        <v>0</v>
      </c>
      <c r="G62" s="484">
        <f t="shared" si="18"/>
        <v>0</v>
      </c>
      <c r="H62" s="453">
        <f t="shared" si="19"/>
        <v>0</v>
      </c>
      <c r="I62" s="473">
        <f t="shared" si="0"/>
        <v>0</v>
      </c>
      <c r="J62" s="473"/>
      <c r="K62" s="485"/>
      <c r="L62" s="476">
        <f t="shared" si="2"/>
        <v>0</v>
      </c>
      <c r="M62" s="485"/>
      <c r="N62" s="476">
        <f t="shared" si="4"/>
        <v>0</v>
      </c>
      <c r="O62" s="476">
        <f t="shared" si="5"/>
        <v>0</v>
      </c>
      <c r="P62" s="241"/>
    </row>
    <row r="63" spans="2:16">
      <c r="B63" s="160" t="str">
        <f t="shared" si="7"/>
        <v/>
      </c>
      <c r="C63" s="470">
        <f>IF(D11="","-",+C62+1)</f>
        <v>2063</v>
      </c>
      <c r="D63" s="481">
        <f>IF(F62+SUM(E$17:E62)=D$10,F62,D$10-SUM(E$17:E62))</f>
        <v>0</v>
      </c>
      <c r="E63" s="482">
        <f t="shared" si="16"/>
        <v>0</v>
      </c>
      <c r="F63" s="483">
        <f t="shared" si="17"/>
        <v>0</v>
      </c>
      <c r="G63" s="484">
        <f t="shared" si="18"/>
        <v>0</v>
      </c>
      <c r="H63" s="453">
        <f t="shared" si="19"/>
        <v>0</v>
      </c>
      <c r="I63" s="473">
        <f t="shared" si="0"/>
        <v>0</v>
      </c>
      <c r="J63" s="473"/>
      <c r="K63" s="485"/>
      <c r="L63" s="476">
        <f t="shared" si="2"/>
        <v>0</v>
      </c>
      <c r="M63" s="485"/>
      <c r="N63" s="476">
        <f t="shared" si="4"/>
        <v>0</v>
      </c>
      <c r="O63" s="476">
        <f t="shared" si="5"/>
        <v>0</v>
      </c>
      <c r="P63" s="241"/>
    </row>
    <row r="64" spans="2:16">
      <c r="B64" s="160" t="str">
        <f t="shared" si="7"/>
        <v/>
      </c>
      <c r="C64" s="470">
        <f>IF(D11="","-",+C63+1)</f>
        <v>2064</v>
      </c>
      <c r="D64" s="481">
        <f>IF(F63+SUM(E$17:E63)=D$10,F63,D$10-SUM(E$17:E63))</f>
        <v>0</v>
      </c>
      <c r="E64" s="482">
        <f t="shared" si="16"/>
        <v>0</v>
      </c>
      <c r="F64" s="483">
        <f t="shared" si="17"/>
        <v>0</v>
      </c>
      <c r="G64" s="484">
        <f t="shared" si="18"/>
        <v>0</v>
      </c>
      <c r="H64" s="453">
        <f t="shared" si="19"/>
        <v>0</v>
      </c>
      <c r="I64" s="473">
        <f t="shared" si="0"/>
        <v>0</v>
      </c>
      <c r="J64" s="473"/>
      <c r="K64" s="485"/>
      <c r="L64" s="476">
        <f t="shared" si="2"/>
        <v>0</v>
      </c>
      <c r="M64" s="485"/>
      <c r="N64" s="476">
        <f t="shared" si="4"/>
        <v>0</v>
      </c>
      <c r="O64" s="476">
        <f t="shared" si="5"/>
        <v>0</v>
      </c>
      <c r="P64" s="241"/>
    </row>
    <row r="65" spans="2:16">
      <c r="B65" s="160" t="str">
        <f t="shared" si="7"/>
        <v/>
      </c>
      <c r="C65" s="470">
        <f>IF(D11="","-",+C64+1)</f>
        <v>2065</v>
      </c>
      <c r="D65" s="481">
        <f>IF(F64+SUM(E$17:E64)=D$10,F64,D$10-SUM(E$17:E64))</f>
        <v>0</v>
      </c>
      <c r="E65" s="482">
        <f t="shared" si="16"/>
        <v>0</v>
      </c>
      <c r="F65" s="483">
        <f t="shared" si="17"/>
        <v>0</v>
      </c>
      <c r="G65" s="484">
        <f t="shared" si="18"/>
        <v>0</v>
      </c>
      <c r="H65" s="453">
        <f t="shared" si="19"/>
        <v>0</v>
      </c>
      <c r="I65" s="473">
        <f t="shared" si="0"/>
        <v>0</v>
      </c>
      <c r="J65" s="473"/>
      <c r="K65" s="485"/>
      <c r="L65" s="476">
        <f t="shared" si="2"/>
        <v>0</v>
      </c>
      <c r="M65" s="485"/>
      <c r="N65" s="476">
        <f t="shared" si="4"/>
        <v>0</v>
      </c>
      <c r="O65" s="476">
        <f t="shared" si="5"/>
        <v>0</v>
      </c>
      <c r="P65" s="241"/>
    </row>
    <row r="66" spans="2:16">
      <c r="B66" s="160" t="str">
        <f t="shared" si="7"/>
        <v/>
      </c>
      <c r="C66" s="470">
        <f>IF(D11="","-",+C65+1)</f>
        <v>2066</v>
      </c>
      <c r="D66" s="481">
        <f>IF(F65+SUM(E$17:E65)=D$10,F65,D$10-SUM(E$17:E65))</f>
        <v>0</v>
      </c>
      <c r="E66" s="482">
        <f t="shared" si="16"/>
        <v>0</v>
      </c>
      <c r="F66" s="483">
        <f t="shared" si="17"/>
        <v>0</v>
      </c>
      <c r="G66" s="484">
        <f t="shared" si="18"/>
        <v>0</v>
      </c>
      <c r="H66" s="453">
        <f t="shared" si="19"/>
        <v>0</v>
      </c>
      <c r="I66" s="473">
        <f t="shared" si="0"/>
        <v>0</v>
      </c>
      <c r="J66" s="473"/>
      <c r="K66" s="485"/>
      <c r="L66" s="476">
        <f t="shared" si="2"/>
        <v>0</v>
      </c>
      <c r="M66" s="485"/>
      <c r="N66" s="476">
        <f t="shared" si="4"/>
        <v>0</v>
      </c>
      <c r="O66" s="476">
        <f t="shared" si="5"/>
        <v>0</v>
      </c>
      <c r="P66" s="241"/>
    </row>
    <row r="67" spans="2:16">
      <c r="B67" s="160" t="str">
        <f t="shared" si="7"/>
        <v/>
      </c>
      <c r="C67" s="470">
        <f>IF(D11="","-",+C66+1)</f>
        <v>2067</v>
      </c>
      <c r="D67" s="481">
        <f>IF(F66+SUM(E$17:E66)=D$10,F66,D$10-SUM(E$17:E66))</f>
        <v>0</v>
      </c>
      <c r="E67" s="482">
        <f t="shared" si="16"/>
        <v>0</v>
      </c>
      <c r="F67" s="483">
        <f t="shared" si="17"/>
        <v>0</v>
      </c>
      <c r="G67" s="484">
        <f t="shared" si="18"/>
        <v>0</v>
      </c>
      <c r="H67" s="453">
        <f t="shared" si="19"/>
        <v>0</v>
      </c>
      <c r="I67" s="473">
        <f t="shared" si="0"/>
        <v>0</v>
      </c>
      <c r="J67" s="473"/>
      <c r="K67" s="485"/>
      <c r="L67" s="476">
        <f t="shared" si="2"/>
        <v>0</v>
      </c>
      <c r="M67" s="485"/>
      <c r="N67" s="476">
        <f t="shared" si="4"/>
        <v>0</v>
      </c>
      <c r="O67" s="476">
        <f t="shared" si="5"/>
        <v>0</v>
      </c>
      <c r="P67" s="241"/>
    </row>
    <row r="68" spans="2:16">
      <c r="B68" s="160" t="str">
        <f t="shared" si="7"/>
        <v/>
      </c>
      <c r="C68" s="470">
        <f>IF(D11="","-",+C67+1)</f>
        <v>2068</v>
      </c>
      <c r="D68" s="481">
        <f>IF(F67+SUM(E$17:E67)=D$10,F67,D$10-SUM(E$17:E67))</f>
        <v>0</v>
      </c>
      <c r="E68" s="482">
        <f t="shared" si="16"/>
        <v>0</v>
      </c>
      <c r="F68" s="483">
        <f t="shared" si="17"/>
        <v>0</v>
      </c>
      <c r="G68" s="484">
        <f t="shared" si="18"/>
        <v>0</v>
      </c>
      <c r="H68" s="453">
        <f t="shared" si="19"/>
        <v>0</v>
      </c>
      <c r="I68" s="473">
        <f t="shared" si="0"/>
        <v>0</v>
      </c>
      <c r="J68" s="473"/>
      <c r="K68" s="485"/>
      <c r="L68" s="476">
        <f t="shared" si="2"/>
        <v>0</v>
      </c>
      <c r="M68" s="485"/>
      <c r="N68" s="476">
        <f t="shared" si="4"/>
        <v>0</v>
      </c>
      <c r="O68" s="476">
        <f t="shared" si="5"/>
        <v>0</v>
      </c>
      <c r="P68" s="241"/>
    </row>
    <row r="69" spans="2:16">
      <c r="B69" s="160" t="str">
        <f t="shared" si="7"/>
        <v/>
      </c>
      <c r="C69" s="470">
        <f>IF(D11="","-",+C68+1)</f>
        <v>2069</v>
      </c>
      <c r="D69" s="481">
        <f>IF(F68+SUM(E$17:E68)=D$10,F68,D$10-SUM(E$17:E68))</f>
        <v>0</v>
      </c>
      <c r="E69" s="482">
        <f t="shared" si="16"/>
        <v>0</v>
      </c>
      <c r="F69" s="483">
        <f t="shared" si="17"/>
        <v>0</v>
      </c>
      <c r="G69" s="484">
        <f t="shared" si="18"/>
        <v>0</v>
      </c>
      <c r="H69" s="453">
        <f t="shared" si="19"/>
        <v>0</v>
      </c>
      <c r="I69" s="473">
        <f t="shared" si="0"/>
        <v>0</v>
      </c>
      <c r="J69" s="473"/>
      <c r="K69" s="485"/>
      <c r="L69" s="476">
        <f t="shared" si="2"/>
        <v>0</v>
      </c>
      <c r="M69" s="485"/>
      <c r="N69" s="476">
        <f t="shared" si="4"/>
        <v>0</v>
      </c>
      <c r="O69" s="476">
        <f t="shared" si="5"/>
        <v>0</v>
      </c>
      <c r="P69" s="241"/>
    </row>
    <row r="70" spans="2:16">
      <c r="B70" s="160" t="str">
        <f t="shared" si="7"/>
        <v/>
      </c>
      <c r="C70" s="470">
        <f>IF(D11="","-",+C69+1)</f>
        <v>2070</v>
      </c>
      <c r="D70" s="481">
        <f>IF(F69+SUM(E$17:E69)=D$10,F69,D$10-SUM(E$17:E69))</f>
        <v>0</v>
      </c>
      <c r="E70" s="482">
        <f t="shared" si="16"/>
        <v>0</v>
      </c>
      <c r="F70" s="483">
        <f t="shared" si="17"/>
        <v>0</v>
      </c>
      <c r="G70" s="484">
        <f t="shared" si="18"/>
        <v>0</v>
      </c>
      <c r="H70" s="453">
        <f t="shared" si="19"/>
        <v>0</v>
      </c>
      <c r="I70" s="473">
        <f t="shared" si="0"/>
        <v>0</v>
      </c>
      <c r="J70" s="473"/>
      <c r="K70" s="485"/>
      <c r="L70" s="476">
        <f t="shared" si="2"/>
        <v>0</v>
      </c>
      <c r="M70" s="485"/>
      <c r="N70" s="476">
        <f t="shared" si="4"/>
        <v>0</v>
      </c>
      <c r="O70" s="476">
        <f t="shared" si="5"/>
        <v>0</v>
      </c>
      <c r="P70" s="241"/>
    </row>
    <row r="71" spans="2:16">
      <c r="B71" s="160" t="str">
        <f t="shared" si="7"/>
        <v/>
      </c>
      <c r="C71" s="470">
        <f>IF(D11="","-",+C70+1)</f>
        <v>2071</v>
      </c>
      <c r="D71" s="481">
        <f>IF(F70+SUM(E$17:E70)=D$10,F70,D$10-SUM(E$17:E70))</f>
        <v>0</v>
      </c>
      <c r="E71" s="482">
        <f t="shared" si="16"/>
        <v>0</v>
      </c>
      <c r="F71" s="483">
        <f t="shared" si="17"/>
        <v>0</v>
      </c>
      <c r="G71" s="484">
        <f t="shared" si="18"/>
        <v>0</v>
      </c>
      <c r="H71" s="453">
        <f t="shared" si="19"/>
        <v>0</v>
      </c>
      <c r="I71" s="473">
        <f t="shared" si="0"/>
        <v>0</v>
      </c>
      <c r="J71" s="473"/>
      <c r="K71" s="485"/>
      <c r="L71" s="476">
        <f t="shared" si="2"/>
        <v>0</v>
      </c>
      <c r="M71" s="485"/>
      <c r="N71" s="476">
        <f t="shared" si="4"/>
        <v>0</v>
      </c>
      <c r="O71" s="476">
        <f t="shared" si="5"/>
        <v>0</v>
      </c>
      <c r="P71" s="241"/>
    </row>
    <row r="72" spans="2:16" ht="13.5" thickBot="1">
      <c r="B72" s="160" t="str">
        <f t="shared" si="7"/>
        <v/>
      </c>
      <c r="C72" s="487">
        <f>IF(D11="","-",+C71+1)</f>
        <v>2072</v>
      </c>
      <c r="D72" s="610">
        <f>IF(F71+SUM(E$17:E71)=D$10,F71,D$10-SUM(E$17:E71))</f>
        <v>0</v>
      </c>
      <c r="E72" s="489">
        <f t="shared" si="16"/>
        <v>0</v>
      </c>
      <c r="F72" s="488">
        <f t="shared" si="17"/>
        <v>0</v>
      </c>
      <c r="G72" s="542">
        <f t="shared" si="18"/>
        <v>0</v>
      </c>
      <c r="H72" s="433">
        <f t="shared" si="19"/>
        <v>0</v>
      </c>
      <c r="I72" s="491">
        <f t="shared" si="0"/>
        <v>0</v>
      </c>
      <c r="J72" s="473"/>
      <c r="K72" s="492"/>
      <c r="L72" s="493">
        <f t="shared" si="2"/>
        <v>0</v>
      </c>
      <c r="M72" s="492"/>
      <c r="N72" s="493">
        <f t="shared" si="4"/>
        <v>0</v>
      </c>
      <c r="O72" s="493">
        <f t="shared" si="5"/>
        <v>0</v>
      </c>
      <c r="P72" s="241"/>
    </row>
    <row r="73" spans="2:16">
      <c r="C73" s="345" t="s">
        <v>77</v>
      </c>
      <c r="D73" s="346"/>
      <c r="E73" s="346">
        <f>SUM(E17:E72)</f>
        <v>1338977.9100000008</v>
      </c>
      <c r="F73" s="346"/>
      <c r="G73" s="346">
        <f>SUM(G17:G72)</f>
        <v>4289459.5085681062</v>
      </c>
      <c r="H73" s="346">
        <f>SUM(H17:H72)</f>
        <v>4289459.5085681062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19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158554.07703900614</v>
      </c>
      <c r="N87" s="506">
        <f>IF(J92&lt;D11,0,VLOOKUP(J92,C17:O72,11))</f>
        <v>158554.07703900614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163509.65476559798</v>
      </c>
      <c r="N88" s="510">
        <f>IF(J92&lt;D11,0,VLOOKUP(J92,C99:P154,7))</f>
        <v>163509.65476559798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Valliant-NW Texarkana 345 kV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4955.5777265918441</v>
      </c>
      <c r="N89" s="515">
        <f>+N88-N87</f>
        <v>4955.5777265918441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TP2009089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524">
        <f>IF(D11=I10,0,D10)</f>
        <v>1338977.9100000004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f>IF(D11=I10,"",D11)</f>
        <v>2017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f>IF(D11=I10,"",D12)</f>
        <v>3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32658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2017</v>
      </c>
      <c r="D99" s="582">
        <v>0</v>
      </c>
      <c r="E99" s="606">
        <v>21831</v>
      </c>
      <c r="F99" s="582">
        <v>1317147</v>
      </c>
      <c r="G99" s="606">
        <v>658573.5</v>
      </c>
      <c r="H99" s="585">
        <v>105372.70906867021</v>
      </c>
      <c r="I99" s="605">
        <v>105372.70906867021</v>
      </c>
      <c r="J99" s="476">
        <f t="shared" ref="J99:J130" si="20">+I99-H99</f>
        <v>0</v>
      </c>
      <c r="K99" s="476"/>
      <c r="L99" s="475">
        <f>+H99</f>
        <v>105372.70906867021</v>
      </c>
      <c r="M99" s="475">
        <f t="shared" ref="M99:M130" si="21">IF(L99&lt;&gt;0,+H99-L99,0)</f>
        <v>0</v>
      </c>
      <c r="N99" s="475">
        <f>+I99</f>
        <v>105372.70906867021</v>
      </c>
      <c r="O99" s="475">
        <f t="shared" ref="O99:O130" si="22">IF(N99&lt;&gt;0,+I99-N99,0)</f>
        <v>0</v>
      </c>
      <c r="P99" s="475">
        <f t="shared" ref="P99:P130" si="23">+O99-M99</f>
        <v>0</v>
      </c>
    </row>
    <row r="100" spans="1:16">
      <c r="B100" s="160" t="str">
        <f>IF(D100=F99,"","IU")</f>
        <v/>
      </c>
      <c r="C100" s="470">
        <f>IF(D93="","-",+C99+1)</f>
        <v>2018</v>
      </c>
      <c r="D100" s="576">
        <v>1317147</v>
      </c>
      <c r="E100" s="577">
        <v>31139</v>
      </c>
      <c r="F100" s="576">
        <v>1286008</v>
      </c>
      <c r="G100" s="577">
        <v>1301577.5</v>
      </c>
      <c r="H100" s="600">
        <v>164857.30223166285</v>
      </c>
      <c r="I100" s="576">
        <v>164857.30223166285</v>
      </c>
      <c r="J100" s="476">
        <f t="shared" si="20"/>
        <v>0</v>
      </c>
      <c r="K100" s="476"/>
      <c r="L100" s="474">
        <f>H100</f>
        <v>164857.30223166285</v>
      </c>
      <c r="M100" s="347">
        <f>IF(L100&lt;&gt;0,+H100-L100,0)</f>
        <v>0</v>
      </c>
      <c r="N100" s="474">
        <f>I100</f>
        <v>164857.30223166285</v>
      </c>
      <c r="O100" s="473">
        <f>IF(N100&lt;&gt;0,+I100-N100,0)</f>
        <v>0</v>
      </c>
      <c r="P100" s="476">
        <f>+O100-M100</f>
        <v>0</v>
      </c>
    </row>
    <row r="101" spans="1:16">
      <c r="B101" s="160" t="str">
        <f t="shared" ref="B101:B154" si="24">IF(D101=F100,"","IU")</f>
        <v/>
      </c>
      <c r="C101" s="470">
        <f>IF(D93="","-",+C100+1)</f>
        <v>2019</v>
      </c>
      <c r="D101" s="576">
        <v>1286008</v>
      </c>
      <c r="E101" s="577">
        <v>32658</v>
      </c>
      <c r="F101" s="576">
        <v>1253350</v>
      </c>
      <c r="G101" s="577">
        <v>1269679</v>
      </c>
      <c r="H101" s="600">
        <v>163579.71352002863</v>
      </c>
      <c r="I101" s="576">
        <v>163579.71352002863</v>
      </c>
      <c r="J101" s="476">
        <f t="shared" si="20"/>
        <v>0</v>
      </c>
      <c r="K101" s="476"/>
      <c r="L101" s="474">
        <f>H101</f>
        <v>163579.71352002863</v>
      </c>
      <c r="M101" s="347">
        <f>IF(L101&lt;&gt;0,+H101-L101,0)</f>
        <v>0</v>
      </c>
      <c r="N101" s="474">
        <f>I101</f>
        <v>163579.71352002863</v>
      </c>
      <c r="O101" s="476">
        <f t="shared" si="22"/>
        <v>0</v>
      </c>
      <c r="P101" s="476">
        <f t="shared" si="23"/>
        <v>0</v>
      </c>
    </row>
    <row r="102" spans="1:16">
      <c r="B102" s="160" t="str">
        <f t="shared" si="24"/>
        <v/>
      </c>
      <c r="C102" s="470">
        <f>IF(D93="","-",+C101+1)</f>
        <v>2020</v>
      </c>
      <c r="D102" s="576">
        <v>1253350</v>
      </c>
      <c r="E102" s="577">
        <v>31139</v>
      </c>
      <c r="F102" s="576">
        <v>1222211</v>
      </c>
      <c r="G102" s="577">
        <v>1237780.5</v>
      </c>
      <c r="H102" s="600">
        <v>173851.68865310939</v>
      </c>
      <c r="I102" s="576">
        <v>173851.68865310939</v>
      </c>
      <c r="J102" s="476">
        <f t="shared" si="20"/>
        <v>0</v>
      </c>
      <c r="K102" s="476"/>
      <c r="L102" s="474">
        <f>H102</f>
        <v>173851.68865310939</v>
      </c>
      <c r="M102" s="347">
        <f>IF(L102&lt;&gt;0,+H102-L102,0)</f>
        <v>0</v>
      </c>
      <c r="N102" s="474">
        <f>I102</f>
        <v>173851.68865310939</v>
      </c>
      <c r="O102" s="476">
        <f t="shared" si="22"/>
        <v>0</v>
      </c>
      <c r="P102" s="476">
        <f t="shared" si="23"/>
        <v>0</v>
      </c>
    </row>
    <row r="103" spans="1:16">
      <c r="B103" s="160" t="str">
        <f t="shared" si="24"/>
        <v/>
      </c>
      <c r="C103" s="470">
        <f>IF(D93="","-",+C102+1)</f>
        <v>2021</v>
      </c>
      <c r="D103" s="576">
        <v>1222211</v>
      </c>
      <c r="E103" s="577">
        <v>32658</v>
      </c>
      <c r="F103" s="576">
        <v>1189553</v>
      </c>
      <c r="G103" s="577">
        <v>1205882</v>
      </c>
      <c r="H103" s="600">
        <v>169878.68084636764</v>
      </c>
      <c r="I103" s="576">
        <v>169878.68084636764</v>
      </c>
      <c r="J103" s="476">
        <f t="shared" si="20"/>
        <v>0</v>
      </c>
      <c r="K103" s="476"/>
      <c r="L103" s="474">
        <f>H103</f>
        <v>169878.68084636764</v>
      </c>
      <c r="M103" s="347">
        <f>IF(L103&lt;&gt;0,+H103-L103,0)</f>
        <v>0</v>
      </c>
      <c r="N103" s="474">
        <f>I103</f>
        <v>169878.68084636764</v>
      </c>
      <c r="O103" s="476">
        <f t="shared" ref="O103" si="25">IF(N103&lt;&gt;0,+I103-N103,0)</f>
        <v>0</v>
      </c>
      <c r="P103" s="476">
        <f t="shared" ref="P103" si="26">+O103-M103</f>
        <v>0</v>
      </c>
    </row>
    <row r="104" spans="1:16">
      <c r="B104" s="160" t="str">
        <f t="shared" si="24"/>
        <v/>
      </c>
      <c r="C104" s="631">
        <f>IF(D93="","-",+C103+1)</f>
        <v>2022</v>
      </c>
      <c r="D104" s="345">
        <v>1189553</v>
      </c>
      <c r="E104" s="482">
        <v>34333</v>
      </c>
      <c r="F104" s="483">
        <v>1155220</v>
      </c>
      <c r="G104" s="483">
        <v>1172386.5</v>
      </c>
      <c r="H104" s="611">
        <v>163509.65476559798</v>
      </c>
      <c r="I104" s="612">
        <v>163509.65476559798</v>
      </c>
      <c r="J104" s="476">
        <f t="shared" si="20"/>
        <v>0</v>
      </c>
      <c r="K104" s="476"/>
      <c r="L104" s="485"/>
      <c r="M104" s="476">
        <f t="shared" si="21"/>
        <v>0</v>
      </c>
      <c r="N104" s="485"/>
      <c r="O104" s="476">
        <f t="shared" si="22"/>
        <v>0</v>
      </c>
      <c r="P104" s="476">
        <f t="shared" si="23"/>
        <v>0</v>
      </c>
    </row>
    <row r="105" spans="1:16">
      <c r="B105" s="160" t="str">
        <f t="shared" si="24"/>
        <v>IU</v>
      </c>
      <c r="C105" s="470">
        <f>IF(D93="","-",+C104+1)</f>
        <v>2023</v>
      </c>
      <c r="D105" s="345">
        <f>IF(F104+SUM(E$99:E104)=D$92,F104,D$92-SUM(E$99:E104))</f>
        <v>1155219.9100000004</v>
      </c>
      <c r="E105" s="482">
        <f t="shared" ref="E105:E154" si="27">IF(+J$96&lt;F104,J$96,D105)</f>
        <v>32658</v>
      </c>
      <c r="F105" s="483">
        <f t="shared" ref="F105:F154" si="28">+D105-E105</f>
        <v>1122561.9100000004</v>
      </c>
      <c r="G105" s="483">
        <f t="shared" ref="G105:G154" si="29">+(F105+D105)/2</f>
        <v>1138890.9100000004</v>
      </c>
      <c r="H105" s="611">
        <f t="shared" ref="H105:H154" si="30">+J$94*G105+E105</f>
        <v>162255.57760704553</v>
      </c>
      <c r="I105" s="612">
        <f t="shared" ref="I105:I154" si="31">+J$95*G105+E105</f>
        <v>162255.57760704553</v>
      </c>
      <c r="J105" s="476">
        <f t="shared" si="20"/>
        <v>0</v>
      </c>
      <c r="K105" s="476"/>
      <c r="L105" s="485"/>
      <c r="M105" s="476">
        <f t="shared" si="21"/>
        <v>0</v>
      </c>
      <c r="N105" s="485"/>
      <c r="O105" s="476">
        <f t="shared" si="22"/>
        <v>0</v>
      </c>
      <c r="P105" s="476">
        <f t="shared" si="23"/>
        <v>0</v>
      </c>
    </row>
    <row r="106" spans="1:16">
      <c r="B106" s="160" t="str">
        <f t="shared" si="24"/>
        <v/>
      </c>
      <c r="C106" s="470">
        <f>IF(D93="","-",+C105+1)</f>
        <v>2024</v>
      </c>
      <c r="D106" s="345">
        <f>IF(F105+SUM(E$99:E105)=D$92,F105,D$92-SUM(E$99:E105))</f>
        <v>1122561.9100000004</v>
      </c>
      <c r="E106" s="482">
        <f t="shared" si="27"/>
        <v>32658</v>
      </c>
      <c r="F106" s="483">
        <f t="shared" si="28"/>
        <v>1089903.9100000004</v>
      </c>
      <c r="G106" s="483">
        <f t="shared" si="29"/>
        <v>1106232.9100000004</v>
      </c>
      <c r="H106" s="611">
        <f t="shared" si="30"/>
        <v>158539.33257222397</v>
      </c>
      <c r="I106" s="612">
        <f t="shared" si="31"/>
        <v>158539.33257222397</v>
      </c>
      <c r="J106" s="476">
        <f t="shared" si="20"/>
        <v>0</v>
      </c>
      <c r="K106" s="476"/>
      <c r="L106" s="485"/>
      <c r="M106" s="476">
        <f t="shared" si="21"/>
        <v>0</v>
      </c>
      <c r="N106" s="485"/>
      <c r="O106" s="476">
        <f t="shared" si="22"/>
        <v>0</v>
      </c>
      <c r="P106" s="476">
        <f t="shared" si="23"/>
        <v>0</v>
      </c>
    </row>
    <row r="107" spans="1:16">
      <c r="B107" s="160" t="str">
        <f t="shared" si="24"/>
        <v/>
      </c>
      <c r="C107" s="470">
        <f>IF(D93="","-",+C106+1)</f>
        <v>2025</v>
      </c>
      <c r="D107" s="345">
        <f>IF(F106+SUM(E$99:E106)=D$92,F106,D$92-SUM(E$99:E106))</f>
        <v>1089903.9100000004</v>
      </c>
      <c r="E107" s="482">
        <f t="shared" si="27"/>
        <v>32658</v>
      </c>
      <c r="F107" s="483">
        <f t="shared" si="28"/>
        <v>1057245.9100000004</v>
      </c>
      <c r="G107" s="483">
        <f t="shared" si="29"/>
        <v>1073574.9100000004</v>
      </c>
      <c r="H107" s="611">
        <f t="shared" si="30"/>
        <v>154823.08753740243</v>
      </c>
      <c r="I107" s="612">
        <f t="shared" si="31"/>
        <v>154823.08753740243</v>
      </c>
      <c r="J107" s="476">
        <f t="shared" si="20"/>
        <v>0</v>
      </c>
      <c r="K107" s="476"/>
      <c r="L107" s="485"/>
      <c r="M107" s="476">
        <f t="shared" si="21"/>
        <v>0</v>
      </c>
      <c r="N107" s="485"/>
      <c r="O107" s="476">
        <f t="shared" si="22"/>
        <v>0</v>
      </c>
      <c r="P107" s="476">
        <f t="shared" si="23"/>
        <v>0</v>
      </c>
    </row>
    <row r="108" spans="1:16">
      <c r="B108" s="160" t="str">
        <f t="shared" si="24"/>
        <v/>
      </c>
      <c r="C108" s="470">
        <f>IF(D93="","-",+C107+1)</f>
        <v>2026</v>
      </c>
      <c r="D108" s="345">
        <f>IF(F107+SUM(E$99:E107)=D$92,F107,D$92-SUM(E$99:E107))</f>
        <v>1057245.9100000004</v>
      </c>
      <c r="E108" s="482">
        <f t="shared" si="27"/>
        <v>32658</v>
      </c>
      <c r="F108" s="483">
        <f t="shared" si="28"/>
        <v>1024587.9100000004</v>
      </c>
      <c r="G108" s="483">
        <f t="shared" si="29"/>
        <v>1040916.9100000004</v>
      </c>
      <c r="H108" s="611">
        <f t="shared" si="30"/>
        <v>151106.8425025809</v>
      </c>
      <c r="I108" s="612">
        <f t="shared" si="31"/>
        <v>151106.8425025809</v>
      </c>
      <c r="J108" s="476">
        <f t="shared" si="20"/>
        <v>0</v>
      </c>
      <c r="K108" s="476"/>
      <c r="L108" s="485"/>
      <c r="M108" s="476">
        <f t="shared" si="21"/>
        <v>0</v>
      </c>
      <c r="N108" s="485"/>
      <c r="O108" s="476">
        <f t="shared" si="22"/>
        <v>0</v>
      </c>
      <c r="P108" s="476">
        <f t="shared" si="23"/>
        <v>0</v>
      </c>
    </row>
    <row r="109" spans="1:16">
      <c r="B109" s="160" t="str">
        <f t="shared" si="24"/>
        <v/>
      </c>
      <c r="C109" s="470">
        <f>IF(D93="","-",+C108+1)</f>
        <v>2027</v>
      </c>
      <c r="D109" s="345">
        <f>IF(F108+SUM(E$99:E108)=D$92,F108,D$92-SUM(E$99:E108))</f>
        <v>1024587.9100000004</v>
      </c>
      <c r="E109" s="482">
        <f t="shared" si="27"/>
        <v>32658</v>
      </c>
      <c r="F109" s="483">
        <f t="shared" si="28"/>
        <v>991929.91000000038</v>
      </c>
      <c r="G109" s="483">
        <f t="shared" si="29"/>
        <v>1008258.9100000004</v>
      </c>
      <c r="H109" s="611">
        <f t="shared" si="30"/>
        <v>147390.59746775933</v>
      </c>
      <c r="I109" s="612">
        <f t="shared" si="31"/>
        <v>147390.59746775933</v>
      </c>
      <c r="J109" s="476">
        <f t="shared" si="20"/>
        <v>0</v>
      </c>
      <c r="K109" s="476"/>
      <c r="L109" s="485"/>
      <c r="M109" s="476">
        <f t="shared" si="21"/>
        <v>0</v>
      </c>
      <c r="N109" s="485"/>
      <c r="O109" s="476">
        <f t="shared" si="22"/>
        <v>0</v>
      </c>
      <c r="P109" s="476">
        <f t="shared" si="23"/>
        <v>0</v>
      </c>
    </row>
    <row r="110" spans="1:16">
      <c r="B110" s="160" t="str">
        <f t="shared" si="24"/>
        <v/>
      </c>
      <c r="C110" s="470">
        <f>IF(D93="","-",+C109+1)</f>
        <v>2028</v>
      </c>
      <c r="D110" s="345">
        <f>IF(F109+SUM(E$99:E109)=D$92,F109,D$92-SUM(E$99:E109))</f>
        <v>991929.91000000038</v>
      </c>
      <c r="E110" s="482">
        <f t="shared" si="27"/>
        <v>32658</v>
      </c>
      <c r="F110" s="483">
        <f t="shared" si="28"/>
        <v>959271.91000000038</v>
      </c>
      <c r="G110" s="483">
        <f t="shared" si="29"/>
        <v>975600.91000000038</v>
      </c>
      <c r="H110" s="611">
        <f t="shared" si="30"/>
        <v>143674.3524329378</v>
      </c>
      <c r="I110" s="612">
        <f t="shared" si="31"/>
        <v>143674.3524329378</v>
      </c>
      <c r="J110" s="476">
        <f t="shared" si="20"/>
        <v>0</v>
      </c>
      <c r="K110" s="476"/>
      <c r="L110" s="485"/>
      <c r="M110" s="476">
        <f t="shared" si="21"/>
        <v>0</v>
      </c>
      <c r="N110" s="485"/>
      <c r="O110" s="476">
        <f t="shared" si="22"/>
        <v>0</v>
      </c>
      <c r="P110" s="476">
        <f t="shared" si="23"/>
        <v>0</v>
      </c>
    </row>
    <row r="111" spans="1:16">
      <c r="B111" s="160" t="str">
        <f t="shared" si="24"/>
        <v/>
      </c>
      <c r="C111" s="470">
        <f>IF(D93="","-",+C110+1)</f>
        <v>2029</v>
      </c>
      <c r="D111" s="345">
        <f>IF(F110+SUM(E$99:E110)=D$92,F110,D$92-SUM(E$99:E110))</f>
        <v>959271.91000000038</v>
      </c>
      <c r="E111" s="482">
        <f t="shared" si="27"/>
        <v>32658</v>
      </c>
      <c r="F111" s="483">
        <f t="shared" si="28"/>
        <v>926613.91000000038</v>
      </c>
      <c r="G111" s="483">
        <f t="shared" si="29"/>
        <v>942942.91000000038</v>
      </c>
      <c r="H111" s="611">
        <f t="shared" si="30"/>
        <v>139958.10739811626</v>
      </c>
      <c r="I111" s="612">
        <f t="shared" si="31"/>
        <v>139958.10739811626</v>
      </c>
      <c r="J111" s="476">
        <f t="shared" si="20"/>
        <v>0</v>
      </c>
      <c r="K111" s="476"/>
      <c r="L111" s="485"/>
      <c r="M111" s="476">
        <f t="shared" si="21"/>
        <v>0</v>
      </c>
      <c r="N111" s="485"/>
      <c r="O111" s="476">
        <f t="shared" si="22"/>
        <v>0</v>
      </c>
      <c r="P111" s="476">
        <f t="shared" si="23"/>
        <v>0</v>
      </c>
    </row>
    <row r="112" spans="1:16">
      <c r="B112" s="160" t="str">
        <f t="shared" si="24"/>
        <v/>
      </c>
      <c r="C112" s="470">
        <f>IF(D93="","-",+C111+1)</f>
        <v>2030</v>
      </c>
      <c r="D112" s="345">
        <f>IF(F111+SUM(E$99:E111)=D$92,F111,D$92-SUM(E$99:E111))</f>
        <v>926613.91000000038</v>
      </c>
      <c r="E112" s="482">
        <f t="shared" si="27"/>
        <v>32658</v>
      </c>
      <c r="F112" s="483">
        <f t="shared" si="28"/>
        <v>893955.91000000038</v>
      </c>
      <c r="G112" s="483">
        <f t="shared" si="29"/>
        <v>910284.91000000038</v>
      </c>
      <c r="H112" s="611">
        <f t="shared" si="30"/>
        <v>136241.8623632947</v>
      </c>
      <c r="I112" s="612">
        <f t="shared" si="31"/>
        <v>136241.8623632947</v>
      </c>
      <c r="J112" s="476">
        <f t="shared" si="20"/>
        <v>0</v>
      </c>
      <c r="K112" s="476"/>
      <c r="L112" s="485"/>
      <c r="M112" s="476">
        <f t="shared" si="21"/>
        <v>0</v>
      </c>
      <c r="N112" s="485"/>
      <c r="O112" s="476">
        <f t="shared" si="22"/>
        <v>0</v>
      </c>
      <c r="P112" s="476">
        <f t="shared" si="23"/>
        <v>0</v>
      </c>
    </row>
    <row r="113" spans="2:16">
      <c r="B113" s="160" t="str">
        <f t="shared" si="24"/>
        <v/>
      </c>
      <c r="C113" s="470">
        <f>IF(D93="","-",+C112+1)</f>
        <v>2031</v>
      </c>
      <c r="D113" s="345">
        <f>IF(F112+SUM(E$99:E112)=D$92,F112,D$92-SUM(E$99:E112))</f>
        <v>893955.91000000038</v>
      </c>
      <c r="E113" s="482">
        <f t="shared" si="27"/>
        <v>32658</v>
      </c>
      <c r="F113" s="483">
        <f t="shared" si="28"/>
        <v>861297.91000000038</v>
      </c>
      <c r="G113" s="483">
        <f t="shared" si="29"/>
        <v>877626.91000000038</v>
      </c>
      <c r="H113" s="611">
        <f t="shared" si="30"/>
        <v>132525.61732847316</v>
      </c>
      <c r="I113" s="612">
        <f t="shared" si="31"/>
        <v>132525.61732847316</v>
      </c>
      <c r="J113" s="476">
        <f t="shared" si="20"/>
        <v>0</v>
      </c>
      <c r="K113" s="476"/>
      <c r="L113" s="485"/>
      <c r="M113" s="476">
        <f t="shared" si="21"/>
        <v>0</v>
      </c>
      <c r="N113" s="485"/>
      <c r="O113" s="476">
        <f t="shared" si="22"/>
        <v>0</v>
      </c>
      <c r="P113" s="476">
        <f t="shared" si="23"/>
        <v>0</v>
      </c>
    </row>
    <row r="114" spans="2:16">
      <c r="B114" s="160" t="str">
        <f t="shared" si="24"/>
        <v/>
      </c>
      <c r="C114" s="470">
        <f>IF(D93="","-",+C113+1)</f>
        <v>2032</v>
      </c>
      <c r="D114" s="345">
        <f>IF(F113+SUM(E$99:E113)=D$92,F113,D$92-SUM(E$99:E113))</f>
        <v>861297.91000000038</v>
      </c>
      <c r="E114" s="482">
        <f t="shared" si="27"/>
        <v>32658</v>
      </c>
      <c r="F114" s="483">
        <f t="shared" si="28"/>
        <v>828639.91000000038</v>
      </c>
      <c r="G114" s="483">
        <f t="shared" si="29"/>
        <v>844968.91000000038</v>
      </c>
      <c r="H114" s="611">
        <f t="shared" si="30"/>
        <v>128809.37229365161</v>
      </c>
      <c r="I114" s="612">
        <f t="shared" si="31"/>
        <v>128809.37229365161</v>
      </c>
      <c r="J114" s="476">
        <f t="shared" si="20"/>
        <v>0</v>
      </c>
      <c r="K114" s="476"/>
      <c r="L114" s="485"/>
      <c r="M114" s="476">
        <f t="shared" si="21"/>
        <v>0</v>
      </c>
      <c r="N114" s="485"/>
      <c r="O114" s="476">
        <f t="shared" si="22"/>
        <v>0</v>
      </c>
      <c r="P114" s="476">
        <f t="shared" si="23"/>
        <v>0</v>
      </c>
    </row>
    <row r="115" spans="2:16">
      <c r="B115" s="160" t="str">
        <f t="shared" si="24"/>
        <v/>
      </c>
      <c r="C115" s="470">
        <f>IF(D93="","-",+C114+1)</f>
        <v>2033</v>
      </c>
      <c r="D115" s="345">
        <f>IF(F114+SUM(E$99:E114)=D$92,F114,D$92-SUM(E$99:E114))</f>
        <v>828639.91000000038</v>
      </c>
      <c r="E115" s="482">
        <f t="shared" si="27"/>
        <v>32658</v>
      </c>
      <c r="F115" s="483">
        <f t="shared" si="28"/>
        <v>795981.91000000038</v>
      </c>
      <c r="G115" s="483">
        <f t="shared" si="29"/>
        <v>812310.91000000038</v>
      </c>
      <c r="H115" s="611">
        <f t="shared" si="30"/>
        <v>125093.12725883006</v>
      </c>
      <c r="I115" s="612">
        <f t="shared" si="31"/>
        <v>125093.12725883006</v>
      </c>
      <c r="J115" s="476">
        <f t="shared" si="20"/>
        <v>0</v>
      </c>
      <c r="K115" s="476"/>
      <c r="L115" s="485"/>
      <c r="M115" s="476">
        <f t="shared" si="21"/>
        <v>0</v>
      </c>
      <c r="N115" s="485"/>
      <c r="O115" s="476">
        <f t="shared" si="22"/>
        <v>0</v>
      </c>
      <c r="P115" s="476">
        <f t="shared" si="23"/>
        <v>0</v>
      </c>
    </row>
    <row r="116" spans="2:16">
      <c r="B116" s="160" t="str">
        <f t="shared" si="24"/>
        <v/>
      </c>
      <c r="C116" s="470">
        <f>IF(D93="","-",+C115+1)</f>
        <v>2034</v>
      </c>
      <c r="D116" s="345">
        <f>IF(F115+SUM(E$99:E115)=D$92,F115,D$92-SUM(E$99:E115))</f>
        <v>795981.91000000038</v>
      </c>
      <c r="E116" s="482">
        <f t="shared" si="27"/>
        <v>32658</v>
      </c>
      <c r="F116" s="483">
        <f t="shared" si="28"/>
        <v>763323.91000000038</v>
      </c>
      <c r="G116" s="483">
        <f t="shared" si="29"/>
        <v>779652.91000000038</v>
      </c>
      <c r="H116" s="611">
        <f t="shared" si="30"/>
        <v>121376.88222400853</v>
      </c>
      <c r="I116" s="612">
        <f t="shared" si="31"/>
        <v>121376.88222400853</v>
      </c>
      <c r="J116" s="476">
        <f t="shared" si="20"/>
        <v>0</v>
      </c>
      <c r="K116" s="476"/>
      <c r="L116" s="485"/>
      <c r="M116" s="476">
        <f t="shared" si="21"/>
        <v>0</v>
      </c>
      <c r="N116" s="485"/>
      <c r="O116" s="476">
        <f t="shared" si="22"/>
        <v>0</v>
      </c>
      <c r="P116" s="476">
        <f t="shared" si="23"/>
        <v>0</v>
      </c>
    </row>
    <row r="117" spans="2:16">
      <c r="B117" s="160" t="str">
        <f t="shared" si="24"/>
        <v/>
      </c>
      <c r="C117" s="470">
        <f>IF(D93="","-",+C116+1)</f>
        <v>2035</v>
      </c>
      <c r="D117" s="345">
        <f>IF(F116+SUM(E$99:E116)=D$92,F116,D$92-SUM(E$99:E116))</f>
        <v>763323.91000000038</v>
      </c>
      <c r="E117" s="482">
        <f t="shared" si="27"/>
        <v>32658</v>
      </c>
      <c r="F117" s="483">
        <f t="shared" si="28"/>
        <v>730665.91000000038</v>
      </c>
      <c r="G117" s="483">
        <f t="shared" si="29"/>
        <v>746994.91000000038</v>
      </c>
      <c r="H117" s="611">
        <f t="shared" si="30"/>
        <v>117660.63718918698</v>
      </c>
      <c r="I117" s="612">
        <f t="shared" si="31"/>
        <v>117660.63718918698</v>
      </c>
      <c r="J117" s="476">
        <f t="shared" si="20"/>
        <v>0</v>
      </c>
      <c r="K117" s="476"/>
      <c r="L117" s="485"/>
      <c r="M117" s="476">
        <f t="shared" si="21"/>
        <v>0</v>
      </c>
      <c r="N117" s="485"/>
      <c r="O117" s="476">
        <f t="shared" si="22"/>
        <v>0</v>
      </c>
      <c r="P117" s="476">
        <f t="shared" si="23"/>
        <v>0</v>
      </c>
    </row>
    <row r="118" spans="2:16">
      <c r="B118" s="160" t="str">
        <f t="shared" si="24"/>
        <v/>
      </c>
      <c r="C118" s="470">
        <f>IF(D93="","-",+C117+1)</f>
        <v>2036</v>
      </c>
      <c r="D118" s="345">
        <f>IF(F117+SUM(E$99:E117)=D$92,F117,D$92-SUM(E$99:E117))</f>
        <v>730665.91000000038</v>
      </c>
      <c r="E118" s="482">
        <f t="shared" si="27"/>
        <v>32658</v>
      </c>
      <c r="F118" s="483">
        <f t="shared" si="28"/>
        <v>698007.91000000038</v>
      </c>
      <c r="G118" s="483">
        <f t="shared" si="29"/>
        <v>714336.91000000038</v>
      </c>
      <c r="H118" s="611">
        <f t="shared" si="30"/>
        <v>113944.39215436543</v>
      </c>
      <c r="I118" s="612">
        <f t="shared" si="31"/>
        <v>113944.39215436543</v>
      </c>
      <c r="J118" s="476">
        <f t="shared" si="20"/>
        <v>0</v>
      </c>
      <c r="K118" s="476"/>
      <c r="L118" s="485"/>
      <c r="M118" s="476">
        <f t="shared" si="21"/>
        <v>0</v>
      </c>
      <c r="N118" s="485"/>
      <c r="O118" s="476">
        <f t="shared" si="22"/>
        <v>0</v>
      </c>
      <c r="P118" s="476">
        <f t="shared" si="23"/>
        <v>0</v>
      </c>
    </row>
    <row r="119" spans="2:16">
      <c r="B119" s="160" t="str">
        <f t="shared" si="24"/>
        <v/>
      </c>
      <c r="C119" s="470">
        <f>IF(D93="","-",+C118+1)</f>
        <v>2037</v>
      </c>
      <c r="D119" s="345">
        <f>IF(F118+SUM(E$99:E118)=D$92,F118,D$92-SUM(E$99:E118))</f>
        <v>698007.91000000038</v>
      </c>
      <c r="E119" s="482">
        <f t="shared" si="27"/>
        <v>32658</v>
      </c>
      <c r="F119" s="483">
        <f t="shared" si="28"/>
        <v>665349.91000000038</v>
      </c>
      <c r="G119" s="483">
        <f t="shared" si="29"/>
        <v>681678.91000000038</v>
      </c>
      <c r="H119" s="611">
        <f t="shared" si="30"/>
        <v>110228.14711954389</v>
      </c>
      <c r="I119" s="612">
        <f t="shared" si="31"/>
        <v>110228.14711954389</v>
      </c>
      <c r="J119" s="476">
        <f t="shared" si="20"/>
        <v>0</v>
      </c>
      <c r="K119" s="476"/>
      <c r="L119" s="485"/>
      <c r="M119" s="476">
        <f t="shared" si="21"/>
        <v>0</v>
      </c>
      <c r="N119" s="485"/>
      <c r="O119" s="476">
        <f t="shared" si="22"/>
        <v>0</v>
      </c>
      <c r="P119" s="476">
        <f t="shared" si="23"/>
        <v>0</v>
      </c>
    </row>
    <row r="120" spans="2:16">
      <c r="B120" s="160" t="str">
        <f t="shared" si="24"/>
        <v/>
      </c>
      <c r="C120" s="470">
        <f>IF(D93="","-",+C119+1)</f>
        <v>2038</v>
      </c>
      <c r="D120" s="345">
        <f>IF(F119+SUM(E$99:E119)=D$92,F119,D$92-SUM(E$99:E119))</f>
        <v>665349.91000000038</v>
      </c>
      <c r="E120" s="482">
        <f t="shared" si="27"/>
        <v>32658</v>
      </c>
      <c r="F120" s="483">
        <f t="shared" si="28"/>
        <v>632691.91000000038</v>
      </c>
      <c r="G120" s="483">
        <f t="shared" si="29"/>
        <v>649020.91000000038</v>
      </c>
      <c r="H120" s="611">
        <f t="shared" si="30"/>
        <v>106511.90208472234</v>
      </c>
      <c r="I120" s="612">
        <f t="shared" si="31"/>
        <v>106511.90208472234</v>
      </c>
      <c r="J120" s="476">
        <f t="shared" si="20"/>
        <v>0</v>
      </c>
      <c r="K120" s="476"/>
      <c r="L120" s="485"/>
      <c r="M120" s="476">
        <f t="shared" si="21"/>
        <v>0</v>
      </c>
      <c r="N120" s="485"/>
      <c r="O120" s="476">
        <f t="shared" si="22"/>
        <v>0</v>
      </c>
      <c r="P120" s="476">
        <f t="shared" si="23"/>
        <v>0</v>
      </c>
    </row>
    <row r="121" spans="2:16">
      <c r="B121" s="160" t="str">
        <f t="shared" si="24"/>
        <v/>
      </c>
      <c r="C121" s="470">
        <f>IF(D93="","-",+C120+1)</f>
        <v>2039</v>
      </c>
      <c r="D121" s="345">
        <f>IF(F120+SUM(E$99:E120)=D$92,F120,D$92-SUM(E$99:E120))</f>
        <v>632691.91000000038</v>
      </c>
      <c r="E121" s="482">
        <f t="shared" si="27"/>
        <v>32658</v>
      </c>
      <c r="F121" s="483">
        <f t="shared" si="28"/>
        <v>600033.91000000038</v>
      </c>
      <c r="G121" s="483">
        <f t="shared" si="29"/>
        <v>616362.91000000038</v>
      </c>
      <c r="H121" s="611">
        <f t="shared" si="30"/>
        <v>102795.65704990079</v>
      </c>
      <c r="I121" s="612">
        <f t="shared" si="31"/>
        <v>102795.65704990079</v>
      </c>
      <c r="J121" s="476">
        <f t="shared" si="20"/>
        <v>0</v>
      </c>
      <c r="K121" s="476"/>
      <c r="L121" s="485"/>
      <c r="M121" s="476">
        <f t="shared" si="21"/>
        <v>0</v>
      </c>
      <c r="N121" s="485"/>
      <c r="O121" s="476">
        <f t="shared" si="22"/>
        <v>0</v>
      </c>
      <c r="P121" s="476">
        <f t="shared" si="23"/>
        <v>0</v>
      </c>
    </row>
    <row r="122" spans="2:16">
      <c r="B122" s="160" t="str">
        <f t="shared" si="24"/>
        <v/>
      </c>
      <c r="C122" s="470">
        <f>IF(D93="","-",+C121+1)</f>
        <v>2040</v>
      </c>
      <c r="D122" s="345">
        <f>IF(F121+SUM(E$99:E121)=D$92,F121,D$92-SUM(E$99:E121))</f>
        <v>600033.91000000038</v>
      </c>
      <c r="E122" s="482">
        <f t="shared" si="27"/>
        <v>32658</v>
      </c>
      <c r="F122" s="483">
        <f t="shared" si="28"/>
        <v>567375.91000000038</v>
      </c>
      <c r="G122" s="483">
        <f t="shared" si="29"/>
        <v>583704.91000000038</v>
      </c>
      <c r="H122" s="611">
        <f t="shared" si="30"/>
        <v>99079.412015079259</v>
      </c>
      <c r="I122" s="612">
        <f t="shared" si="31"/>
        <v>99079.412015079259</v>
      </c>
      <c r="J122" s="476">
        <f t="shared" si="20"/>
        <v>0</v>
      </c>
      <c r="K122" s="476"/>
      <c r="L122" s="485"/>
      <c r="M122" s="476">
        <f t="shared" si="21"/>
        <v>0</v>
      </c>
      <c r="N122" s="485"/>
      <c r="O122" s="476">
        <f t="shared" si="22"/>
        <v>0</v>
      </c>
      <c r="P122" s="476">
        <f t="shared" si="23"/>
        <v>0</v>
      </c>
    </row>
    <row r="123" spans="2:16">
      <c r="B123" s="160" t="str">
        <f t="shared" si="24"/>
        <v/>
      </c>
      <c r="C123" s="470">
        <f>IF(D93="","-",+C122+1)</f>
        <v>2041</v>
      </c>
      <c r="D123" s="345">
        <f>IF(F122+SUM(E$99:E122)=D$92,F122,D$92-SUM(E$99:E122))</f>
        <v>567375.91000000038</v>
      </c>
      <c r="E123" s="482">
        <f t="shared" si="27"/>
        <v>32658</v>
      </c>
      <c r="F123" s="483">
        <f t="shared" si="28"/>
        <v>534717.91000000038</v>
      </c>
      <c r="G123" s="483">
        <f t="shared" si="29"/>
        <v>551046.91000000038</v>
      </c>
      <c r="H123" s="611">
        <f t="shared" si="30"/>
        <v>95363.166980257709</v>
      </c>
      <c r="I123" s="612">
        <f t="shared" si="31"/>
        <v>95363.166980257709</v>
      </c>
      <c r="J123" s="476">
        <f t="shared" si="20"/>
        <v>0</v>
      </c>
      <c r="K123" s="476"/>
      <c r="L123" s="485"/>
      <c r="M123" s="476">
        <f t="shared" si="21"/>
        <v>0</v>
      </c>
      <c r="N123" s="485"/>
      <c r="O123" s="476">
        <f t="shared" si="22"/>
        <v>0</v>
      </c>
      <c r="P123" s="476">
        <f t="shared" si="23"/>
        <v>0</v>
      </c>
    </row>
    <row r="124" spans="2:16">
      <c r="B124" s="160" t="str">
        <f t="shared" si="24"/>
        <v/>
      </c>
      <c r="C124" s="470">
        <f>IF(D93="","-",+C123+1)</f>
        <v>2042</v>
      </c>
      <c r="D124" s="345">
        <f>IF(F123+SUM(E$99:E123)=D$92,F123,D$92-SUM(E$99:E123))</f>
        <v>534717.91000000038</v>
      </c>
      <c r="E124" s="482">
        <f t="shared" si="27"/>
        <v>32658</v>
      </c>
      <c r="F124" s="483">
        <f t="shared" si="28"/>
        <v>502059.91000000038</v>
      </c>
      <c r="G124" s="483">
        <f t="shared" si="29"/>
        <v>518388.91000000038</v>
      </c>
      <c r="H124" s="611">
        <f t="shared" si="30"/>
        <v>91646.921945436159</v>
      </c>
      <c r="I124" s="612">
        <f t="shared" si="31"/>
        <v>91646.921945436159</v>
      </c>
      <c r="J124" s="476">
        <f t="shared" si="20"/>
        <v>0</v>
      </c>
      <c r="K124" s="476"/>
      <c r="L124" s="485"/>
      <c r="M124" s="476">
        <f t="shared" si="21"/>
        <v>0</v>
      </c>
      <c r="N124" s="485"/>
      <c r="O124" s="476">
        <f t="shared" si="22"/>
        <v>0</v>
      </c>
      <c r="P124" s="476">
        <f t="shared" si="23"/>
        <v>0</v>
      </c>
    </row>
    <row r="125" spans="2:16">
      <c r="B125" s="160" t="str">
        <f t="shared" si="24"/>
        <v/>
      </c>
      <c r="C125" s="470">
        <f>IF(D93="","-",+C124+1)</f>
        <v>2043</v>
      </c>
      <c r="D125" s="345">
        <f>IF(F124+SUM(E$99:E124)=D$92,F124,D$92-SUM(E$99:E124))</f>
        <v>502059.91000000038</v>
      </c>
      <c r="E125" s="482">
        <f t="shared" si="27"/>
        <v>32658</v>
      </c>
      <c r="F125" s="483">
        <f t="shared" si="28"/>
        <v>469401.91000000038</v>
      </c>
      <c r="G125" s="483">
        <f t="shared" si="29"/>
        <v>485730.91000000038</v>
      </c>
      <c r="H125" s="611">
        <f t="shared" si="30"/>
        <v>87930.676910614624</v>
      </c>
      <c r="I125" s="612">
        <f t="shared" si="31"/>
        <v>87930.676910614624</v>
      </c>
      <c r="J125" s="476">
        <f t="shared" si="20"/>
        <v>0</v>
      </c>
      <c r="K125" s="476"/>
      <c r="L125" s="485"/>
      <c r="M125" s="476">
        <f t="shared" si="21"/>
        <v>0</v>
      </c>
      <c r="N125" s="485"/>
      <c r="O125" s="476">
        <f t="shared" si="22"/>
        <v>0</v>
      </c>
      <c r="P125" s="476">
        <f t="shared" si="23"/>
        <v>0</v>
      </c>
    </row>
    <row r="126" spans="2:16">
      <c r="B126" s="160" t="str">
        <f t="shared" si="24"/>
        <v/>
      </c>
      <c r="C126" s="470">
        <f>IF(D93="","-",+C125+1)</f>
        <v>2044</v>
      </c>
      <c r="D126" s="345">
        <f>IF(F125+SUM(E$99:E125)=D$92,F125,D$92-SUM(E$99:E125))</f>
        <v>469401.91000000038</v>
      </c>
      <c r="E126" s="482">
        <f t="shared" si="27"/>
        <v>32658</v>
      </c>
      <c r="F126" s="483">
        <f t="shared" si="28"/>
        <v>436743.91000000038</v>
      </c>
      <c r="G126" s="483">
        <f t="shared" si="29"/>
        <v>453072.91000000038</v>
      </c>
      <c r="H126" s="611">
        <f t="shared" si="30"/>
        <v>84214.431875793074</v>
      </c>
      <c r="I126" s="612">
        <f t="shared" si="31"/>
        <v>84214.431875793074</v>
      </c>
      <c r="J126" s="476">
        <f t="shared" si="20"/>
        <v>0</v>
      </c>
      <c r="K126" s="476"/>
      <c r="L126" s="485"/>
      <c r="M126" s="476">
        <f t="shared" si="21"/>
        <v>0</v>
      </c>
      <c r="N126" s="485"/>
      <c r="O126" s="476">
        <f t="shared" si="22"/>
        <v>0</v>
      </c>
      <c r="P126" s="476">
        <f t="shared" si="23"/>
        <v>0</v>
      </c>
    </row>
    <row r="127" spans="2:16">
      <c r="B127" s="160" t="str">
        <f t="shared" si="24"/>
        <v/>
      </c>
      <c r="C127" s="470">
        <f>IF(D93="","-",+C126+1)</f>
        <v>2045</v>
      </c>
      <c r="D127" s="345">
        <f>IF(F126+SUM(E$99:E126)=D$92,F126,D$92-SUM(E$99:E126))</f>
        <v>436743.91000000038</v>
      </c>
      <c r="E127" s="482">
        <f t="shared" si="27"/>
        <v>32658</v>
      </c>
      <c r="F127" s="483">
        <f t="shared" si="28"/>
        <v>404085.91000000038</v>
      </c>
      <c r="G127" s="483">
        <f t="shared" si="29"/>
        <v>420414.91000000038</v>
      </c>
      <c r="H127" s="611">
        <f t="shared" si="30"/>
        <v>80498.186840971524</v>
      </c>
      <c r="I127" s="612">
        <f t="shared" si="31"/>
        <v>80498.186840971524</v>
      </c>
      <c r="J127" s="476">
        <f t="shared" si="20"/>
        <v>0</v>
      </c>
      <c r="K127" s="476"/>
      <c r="L127" s="485"/>
      <c r="M127" s="476">
        <f t="shared" si="21"/>
        <v>0</v>
      </c>
      <c r="N127" s="485"/>
      <c r="O127" s="476">
        <f t="shared" si="22"/>
        <v>0</v>
      </c>
      <c r="P127" s="476">
        <f t="shared" si="23"/>
        <v>0</v>
      </c>
    </row>
    <row r="128" spans="2:16">
      <c r="B128" s="160" t="str">
        <f t="shared" si="24"/>
        <v/>
      </c>
      <c r="C128" s="470">
        <f>IF(D93="","-",+C127+1)</f>
        <v>2046</v>
      </c>
      <c r="D128" s="345">
        <f>IF(F127+SUM(E$99:E127)=D$92,F127,D$92-SUM(E$99:E127))</f>
        <v>404085.91000000038</v>
      </c>
      <c r="E128" s="482">
        <f t="shared" si="27"/>
        <v>32658</v>
      </c>
      <c r="F128" s="483">
        <f t="shared" si="28"/>
        <v>371427.91000000038</v>
      </c>
      <c r="G128" s="483">
        <f t="shared" si="29"/>
        <v>387756.91000000038</v>
      </c>
      <c r="H128" s="611">
        <f t="shared" si="30"/>
        <v>76781.941806149989</v>
      </c>
      <c r="I128" s="612">
        <f t="shared" si="31"/>
        <v>76781.941806149989</v>
      </c>
      <c r="J128" s="476">
        <f t="shared" si="20"/>
        <v>0</v>
      </c>
      <c r="K128" s="476"/>
      <c r="L128" s="485"/>
      <c r="M128" s="476">
        <f t="shared" si="21"/>
        <v>0</v>
      </c>
      <c r="N128" s="485"/>
      <c r="O128" s="476">
        <f t="shared" si="22"/>
        <v>0</v>
      </c>
      <c r="P128" s="476">
        <f t="shared" si="23"/>
        <v>0</v>
      </c>
    </row>
    <row r="129" spans="2:16">
      <c r="B129" s="160" t="str">
        <f t="shared" si="24"/>
        <v/>
      </c>
      <c r="C129" s="470">
        <f>IF(D93="","-",+C128+1)</f>
        <v>2047</v>
      </c>
      <c r="D129" s="345">
        <f>IF(F128+SUM(E$99:E128)=D$92,F128,D$92-SUM(E$99:E128))</f>
        <v>371427.91000000038</v>
      </c>
      <c r="E129" s="482">
        <f t="shared" si="27"/>
        <v>32658</v>
      </c>
      <c r="F129" s="483">
        <f t="shared" si="28"/>
        <v>338769.91000000038</v>
      </c>
      <c r="G129" s="483">
        <f t="shared" si="29"/>
        <v>355098.91000000038</v>
      </c>
      <c r="H129" s="611">
        <f t="shared" si="30"/>
        <v>73065.696771328439</v>
      </c>
      <c r="I129" s="612">
        <f t="shared" si="31"/>
        <v>73065.696771328439</v>
      </c>
      <c r="J129" s="476">
        <f t="shared" si="20"/>
        <v>0</v>
      </c>
      <c r="K129" s="476"/>
      <c r="L129" s="485"/>
      <c r="M129" s="476">
        <f t="shared" si="21"/>
        <v>0</v>
      </c>
      <c r="N129" s="485"/>
      <c r="O129" s="476">
        <f t="shared" si="22"/>
        <v>0</v>
      </c>
      <c r="P129" s="476">
        <f t="shared" si="23"/>
        <v>0</v>
      </c>
    </row>
    <row r="130" spans="2:16">
      <c r="B130" s="160" t="str">
        <f t="shared" si="24"/>
        <v/>
      </c>
      <c r="C130" s="470">
        <f>IF(D93="","-",+C129+1)</f>
        <v>2048</v>
      </c>
      <c r="D130" s="345">
        <f>IF(F129+SUM(E$99:E129)=D$92,F129,D$92-SUM(E$99:E129))</f>
        <v>338769.91000000038</v>
      </c>
      <c r="E130" s="482">
        <f t="shared" si="27"/>
        <v>32658</v>
      </c>
      <c r="F130" s="483">
        <f t="shared" si="28"/>
        <v>306111.91000000038</v>
      </c>
      <c r="G130" s="483">
        <f t="shared" si="29"/>
        <v>322440.91000000038</v>
      </c>
      <c r="H130" s="611">
        <f t="shared" si="30"/>
        <v>69349.45173650689</v>
      </c>
      <c r="I130" s="612">
        <f t="shared" si="31"/>
        <v>69349.45173650689</v>
      </c>
      <c r="J130" s="476">
        <f t="shared" si="20"/>
        <v>0</v>
      </c>
      <c r="K130" s="476"/>
      <c r="L130" s="485"/>
      <c r="M130" s="476">
        <f t="shared" si="21"/>
        <v>0</v>
      </c>
      <c r="N130" s="485"/>
      <c r="O130" s="476">
        <f t="shared" si="22"/>
        <v>0</v>
      </c>
      <c r="P130" s="476">
        <f t="shared" si="23"/>
        <v>0</v>
      </c>
    </row>
    <row r="131" spans="2:16">
      <c r="B131" s="160" t="str">
        <f t="shared" si="24"/>
        <v/>
      </c>
      <c r="C131" s="470">
        <f>IF(D93="","-",+C130+1)</f>
        <v>2049</v>
      </c>
      <c r="D131" s="345">
        <f>IF(F130+SUM(E$99:E130)=D$92,F130,D$92-SUM(E$99:E130))</f>
        <v>306111.91000000038</v>
      </c>
      <c r="E131" s="482">
        <f t="shared" si="27"/>
        <v>32658</v>
      </c>
      <c r="F131" s="483">
        <f t="shared" si="28"/>
        <v>273453.91000000038</v>
      </c>
      <c r="G131" s="483">
        <f t="shared" si="29"/>
        <v>289782.91000000038</v>
      </c>
      <c r="H131" s="611">
        <f t="shared" si="30"/>
        <v>65633.206701685354</v>
      </c>
      <c r="I131" s="612">
        <f t="shared" si="31"/>
        <v>65633.206701685354</v>
      </c>
      <c r="J131" s="476">
        <f t="shared" ref="J131:J154" si="32">+I541-H541</f>
        <v>0</v>
      </c>
      <c r="K131" s="476"/>
      <c r="L131" s="485"/>
      <c r="M131" s="476">
        <f t="shared" ref="M131:M154" si="33">IF(L541&lt;&gt;0,+H541-L541,0)</f>
        <v>0</v>
      </c>
      <c r="N131" s="485"/>
      <c r="O131" s="476">
        <f t="shared" ref="O131:O154" si="34">IF(N541&lt;&gt;0,+I541-N541,0)</f>
        <v>0</v>
      </c>
      <c r="P131" s="476">
        <f t="shared" ref="P131:P154" si="35">+O541-M541</f>
        <v>0</v>
      </c>
    </row>
    <row r="132" spans="2:16">
      <c r="B132" s="160" t="str">
        <f t="shared" si="24"/>
        <v/>
      </c>
      <c r="C132" s="470">
        <f>IF(D93="","-",+C131+1)</f>
        <v>2050</v>
      </c>
      <c r="D132" s="345">
        <f>IF(F131+SUM(E$99:E131)=D$92,F131,D$92-SUM(E$99:E131))</f>
        <v>273453.91000000038</v>
      </c>
      <c r="E132" s="482">
        <f t="shared" si="27"/>
        <v>32658</v>
      </c>
      <c r="F132" s="483">
        <f t="shared" si="28"/>
        <v>240795.91000000038</v>
      </c>
      <c r="G132" s="483">
        <f t="shared" si="29"/>
        <v>257124.91000000038</v>
      </c>
      <c r="H132" s="611">
        <f t="shared" si="30"/>
        <v>61916.961666863805</v>
      </c>
      <c r="I132" s="612">
        <f t="shared" si="31"/>
        <v>61916.961666863805</v>
      </c>
      <c r="J132" s="476">
        <f t="shared" si="32"/>
        <v>0</v>
      </c>
      <c r="K132" s="476"/>
      <c r="L132" s="485"/>
      <c r="M132" s="476">
        <f t="shared" si="33"/>
        <v>0</v>
      </c>
      <c r="N132" s="485"/>
      <c r="O132" s="476">
        <f t="shared" si="34"/>
        <v>0</v>
      </c>
      <c r="P132" s="476">
        <f t="shared" si="35"/>
        <v>0</v>
      </c>
    </row>
    <row r="133" spans="2:16">
      <c r="B133" s="160" t="str">
        <f t="shared" si="24"/>
        <v/>
      </c>
      <c r="C133" s="470">
        <f>IF(D93="","-",+C132+1)</f>
        <v>2051</v>
      </c>
      <c r="D133" s="345">
        <f>IF(F132+SUM(E$99:E132)=D$92,F132,D$92-SUM(E$99:E132))</f>
        <v>240795.91000000038</v>
      </c>
      <c r="E133" s="482">
        <f t="shared" si="27"/>
        <v>32658</v>
      </c>
      <c r="F133" s="483">
        <f t="shared" si="28"/>
        <v>208137.91000000038</v>
      </c>
      <c r="G133" s="483">
        <f t="shared" si="29"/>
        <v>224466.91000000038</v>
      </c>
      <c r="H133" s="611">
        <f t="shared" si="30"/>
        <v>58200.716632042255</v>
      </c>
      <c r="I133" s="612">
        <f t="shared" si="31"/>
        <v>58200.716632042255</v>
      </c>
      <c r="J133" s="476">
        <f t="shared" si="32"/>
        <v>0</v>
      </c>
      <c r="K133" s="476"/>
      <c r="L133" s="485"/>
      <c r="M133" s="476">
        <f t="shared" si="33"/>
        <v>0</v>
      </c>
      <c r="N133" s="485"/>
      <c r="O133" s="476">
        <f t="shared" si="34"/>
        <v>0</v>
      </c>
      <c r="P133" s="476">
        <f t="shared" si="35"/>
        <v>0</v>
      </c>
    </row>
    <row r="134" spans="2:16">
      <c r="B134" s="160" t="str">
        <f t="shared" si="24"/>
        <v/>
      </c>
      <c r="C134" s="470">
        <f>IF(D93="","-",+C133+1)</f>
        <v>2052</v>
      </c>
      <c r="D134" s="345">
        <f>IF(F133+SUM(E$99:E133)=D$92,F133,D$92-SUM(E$99:E133))</f>
        <v>208137.91000000038</v>
      </c>
      <c r="E134" s="482">
        <f t="shared" si="27"/>
        <v>32658</v>
      </c>
      <c r="F134" s="483">
        <f t="shared" si="28"/>
        <v>175479.91000000038</v>
      </c>
      <c r="G134" s="483">
        <f t="shared" si="29"/>
        <v>191808.91000000038</v>
      </c>
      <c r="H134" s="611">
        <f t="shared" si="30"/>
        <v>54484.471597220712</v>
      </c>
      <c r="I134" s="612">
        <f t="shared" si="31"/>
        <v>54484.471597220712</v>
      </c>
      <c r="J134" s="476">
        <f t="shared" si="32"/>
        <v>0</v>
      </c>
      <c r="K134" s="476"/>
      <c r="L134" s="485"/>
      <c r="M134" s="476">
        <f t="shared" si="33"/>
        <v>0</v>
      </c>
      <c r="N134" s="485"/>
      <c r="O134" s="476">
        <f t="shared" si="34"/>
        <v>0</v>
      </c>
      <c r="P134" s="476">
        <f t="shared" si="35"/>
        <v>0</v>
      </c>
    </row>
    <row r="135" spans="2:16">
      <c r="B135" s="160" t="str">
        <f t="shared" si="24"/>
        <v/>
      </c>
      <c r="C135" s="470">
        <f>IF(D93="","-",+C134+1)</f>
        <v>2053</v>
      </c>
      <c r="D135" s="345">
        <f>IF(F134+SUM(E$99:E134)=D$92,F134,D$92-SUM(E$99:E134))</f>
        <v>175479.91000000038</v>
      </c>
      <c r="E135" s="482">
        <f t="shared" si="27"/>
        <v>32658</v>
      </c>
      <c r="F135" s="483">
        <f t="shared" si="28"/>
        <v>142821.91000000038</v>
      </c>
      <c r="G135" s="483">
        <f t="shared" si="29"/>
        <v>159150.91000000038</v>
      </c>
      <c r="H135" s="611">
        <f t="shared" si="30"/>
        <v>50768.22656239917</v>
      </c>
      <c r="I135" s="612">
        <f t="shared" si="31"/>
        <v>50768.22656239917</v>
      </c>
      <c r="J135" s="476">
        <f t="shared" si="32"/>
        <v>0</v>
      </c>
      <c r="K135" s="476"/>
      <c r="L135" s="485"/>
      <c r="M135" s="476">
        <f t="shared" si="33"/>
        <v>0</v>
      </c>
      <c r="N135" s="485"/>
      <c r="O135" s="476">
        <f t="shared" si="34"/>
        <v>0</v>
      </c>
      <c r="P135" s="476">
        <f t="shared" si="35"/>
        <v>0</v>
      </c>
    </row>
    <row r="136" spans="2:16">
      <c r="B136" s="160" t="str">
        <f t="shared" si="24"/>
        <v/>
      </c>
      <c r="C136" s="470">
        <f>IF(D93="","-",+C135+1)</f>
        <v>2054</v>
      </c>
      <c r="D136" s="345">
        <f>IF(F135+SUM(E$99:E135)=D$92,F135,D$92-SUM(E$99:E135))</f>
        <v>142821.91000000038</v>
      </c>
      <c r="E136" s="482">
        <f t="shared" si="27"/>
        <v>32658</v>
      </c>
      <c r="F136" s="483">
        <f t="shared" si="28"/>
        <v>110163.91000000038</v>
      </c>
      <c r="G136" s="483">
        <f t="shared" si="29"/>
        <v>126492.91000000038</v>
      </c>
      <c r="H136" s="611">
        <f t="shared" si="30"/>
        <v>47051.98152757762</v>
      </c>
      <c r="I136" s="612">
        <f t="shared" si="31"/>
        <v>47051.98152757762</v>
      </c>
      <c r="J136" s="476">
        <f t="shared" si="32"/>
        <v>0</v>
      </c>
      <c r="K136" s="476"/>
      <c r="L136" s="485"/>
      <c r="M136" s="476">
        <f t="shared" si="33"/>
        <v>0</v>
      </c>
      <c r="N136" s="485"/>
      <c r="O136" s="476">
        <f t="shared" si="34"/>
        <v>0</v>
      </c>
      <c r="P136" s="476">
        <f t="shared" si="35"/>
        <v>0</v>
      </c>
    </row>
    <row r="137" spans="2:16">
      <c r="B137" s="160" t="str">
        <f t="shared" si="24"/>
        <v/>
      </c>
      <c r="C137" s="470">
        <f>IF(D93="","-",+C136+1)</f>
        <v>2055</v>
      </c>
      <c r="D137" s="345">
        <f>IF(F136+SUM(E$99:E136)=D$92,F136,D$92-SUM(E$99:E136))</f>
        <v>110163.91000000038</v>
      </c>
      <c r="E137" s="482">
        <f t="shared" si="27"/>
        <v>32658</v>
      </c>
      <c r="F137" s="483">
        <f t="shared" si="28"/>
        <v>77505.910000000382</v>
      </c>
      <c r="G137" s="483">
        <f t="shared" si="29"/>
        <v>93834.910000000382</v>
      </c>
      <c r="H137" s="611">
        <f t="shared" si="30"/>
        <v>43335.736492756077</v>
      </c>
      <c r="I137" s="612">
        <f t="shared" si="31"/>
        <v>43335.736492756077</v>
      </c>
      <c r="J137" s="476">
        <f t="shared" si="32"/>
        <v>0</v>
      </c>
      <c r="K137" s="476"/>
      <c r="L137" s="485"/>
      <c r="M137" s="476">
        <f t="shared" si="33"/>
        <v>0</v>
      </c>
      <c r="N137" s="485"/>
      <c r="O137" s="476">
        <f t="shared" si="34"/>
        <v>0</v>
      </c>
      <c r="P137" s="476">
        <f t="shared" si="35"/>
        <v>0</v>
      </c>
    </row>
    <row r="138" spans="2:16">
      <c r="B138" s="160" t="str">
        <f t="shared" si="24"/>
        <v/>
      </c>
      <c r="C138" s="470">
        <f>IF(D93="","-",+C137+1)</f>
        <v>2056</v>
      </c>
      <c r="D138" s="345">
        <f>IF(F137+SUM(E$99:E137)=D$92,F137,D$92-SUM(E$99:E137))</f>
        <v>77505.910000000382</v>
      </c>
      <c r="E138" s="482">
        <f t="shared" si="27"/>
        <v>32658</v>
      </c>
      <c r="F138" s="483">
        <f t="shared" si="28"/>
        <v>44847.910000000382</v>
      </c>
      <c r="G138" s="483">
        <f t="shared" si="29"/>
        <v>61176.910000000382</v>
      </c>
      <c r="H138" s="611">
        <f t="shared" si="30"/>
        <v>39619.491457934535</v>
      </c>
      <c r="I138" s="612">
        <f t="shared" si="31"/>
        <v>39619.491457934535</v>
      </c>
      <c r="J138" s="476">
        <f t="shared" si="32"/>
        <v>0</v>
      </c>
      <c r="K138" s="476"/>
      <c r="L138" s="485"/>
      <c r="M138" s="476">
        <f t="shared" si="33"/>
        <v>0</v>
      </c>
      <c r="N138" s="485"/>
      <c r="O138" s="476">
        <f t="shared" si="34"/>
        <v>0</v>
      </c>
      <c r="P138" s="476">
        <f t="shared" si="35"/>
        <v>0</v>
      </c>
    </row>
    <row r="139" spans="2:16">
      <c r="B139" s="160" t="str">
        <f t="shared" si="24"/>
        <v/>
      </c>
      <c r="C139" s="470">
        <f>IF(D93="","-",+C138+1)</f>
        <v>2057</v>
      </c>
      <c r="D139" s="345">
        <f>IF(F138+SUM(E$99:E138)=D$92,F138,D$92-SUM(E$99:E138))</f>
        <v>44847.910000000382</v>
      </c>
      <c r="E139" s="482">
        <f t="shared" si="27"/>
        <v>32658</v>
      </c>
      <c r="F139" s="483">
        <f t="shared" si="28"/>
        <v>12189.910000000382</v>
      </c>
      <c r="G139" s="483">
        <f t="shared" si="29"/>
        <v>28518.910000000382</v>
      </c>
      <c r="H139" s="611">
        <f t="shared" si="30"/>
        <v>35903.246423112985</v>
      </c>
      <c r="I139" s="612">
        <f t="shared" si="31"/>
        <v>35903.246423112985</v>
      </c>
      <c r="J139" s="476">
        <f t="shared" si="32"/>
        <v>0</v>
      </c>
      <c r="K139" s="476"/>
      <c r="L139" s="485"/>
      <c r="M139" s="476">
        <f t="shared" si="33"/>
        <v>0</v>
      </c>
      <c r="N139" s="485"/>
      <c r="O139" s="476">
        <f t="shared" si="34"/>
        <v>0</v>
      </c>
      <c r="P139" s="476">
        <f t="shared" si="35"/>
        <v>0</v>
      </c>
    </row>
    <row r="140" spans="2:16">
      <c r="B140" s="160" t="str">
        <f t="shared" si="24"/>
        <v/>
      </c>
      <c r="C140" s="470">
        <f>IF(D93="","-",+C139+1)</f>
        <v>2058</v>
      </c>
      <c r="D140" s="345">
        <f>IF(F139+SUM(E$99:E139)=D$92,F139,D$92-SUM(E$99:E139))</f>
        <v>12189.910000000382</v>
      </c>
      <c r="E140" s="482">
        <f t="shared" si="27"/>
        <v>12189.910000000382</v>
      </c>
      <c r="F140" s="483">
        <f t="shared" si="28"/>
        <v>0</v>
      </c>
      <c r="G140" s="483">
        <f t="shared" si="29"/>
        <v>6094.9550000001909</v>
      </c>
      <c r="H140" s="611">
        <f t="shared" si="30"/>
        <v>12883.471952851489</v>
      </c>
      <c r="I140" s="612">
        <f t="shared" si="31"/>
        <v>12883.471952851489</v>
      </c>
      <c r="J140" s="476">
        <f t="shared" si="32"/>
        <v>0</v>
      </c>
      <c r="K140" s="476"/>
      <c r="L140" s="485"/>
      <c r="M140" s="476">
        <f t="shared" si="33"/>
        <v>0</v>
      </c>
      <c r="N140" s="485"/>
      <c r="O140" s="476">
        <f t="shared" si="34"/>
        <v>0</v>
      </c>
      <c r="P140" s="476">
        <f t="shared" si="35"/>
        <v>0</v>
      </c>
    </row>
    <row r="141" spans="2:16">
      <c r="B141" s="160" t="str">
        <f t="shared" si="24"/>
        <v/>
      </c>
      <c r="C141" s="470">
        <f>IF(D93="","-",+C140+1)</f>
        <v>2059</v>
      </c>
      <c r="D141" s="345">
        <f>IF(F140+SUM(E$99:E140)=D$92,F140,D$92-SUM(E$99:E140))</f>
        <v>0</v>
      </c>
      <c r="E141" s="482">
        <f t="shared" si="27"/>
        <v>0</v>
      </c>
      <c r="F141" s="483">
        <f t="shared" si="28"/>
        <v>0</v>
      </c>
      <c r="G141" s="483">
        <f t="shared" si="29"/>
        <v>0</v>
      </c>
      <c r="H141" s="611">
        <f t="shared" si="30"/>
        <v>0</v>
      </c>
      <c r="I141" s="612">
        <f t="shared" si="31"/>
        <v>0</v>
      </c>
      <c r="J141" s="476">
        <f t="shared" si="32"/>
        <v>0</v>
      </c>
      <c r="K141" s="476"/>
      <c r="L141" s="485"/>
      <c r="M141" s="476">
        <f t="shared" si="33"/>
        <v>0</v>
      </c>
      <c r="N141" s="485"/>
      <c r="O141" s="476">
        <f t="shared" si="34"/>
        <v>0</v>
      </c>
      <c r="P141" s="476">
        <f t="shared" si="35"/>
        <v>0</v>
      </c>
    </row>
    <row r="142" spans="2:16">
      <c r="B142" s="160" t="str">
        <f t="shared" si="24"/>
        <v/>
      </c>
      <c r="C142" s="470">
        <f>IF(D93="","-",+C141+1)</f>
        <v>2060</v>
      </c>
      <c r="D142" s="345">
        <f>IF(F141+SUM(E$99:E141)=D$92,F141,D$92-SUM(E$99:E141))</f>
        <v>0</v>
      </c>
      <c r="E142" s="482">
        <f t="shared" si="27"/>
        <v>0</v>
      </c>
      <c r="F142" s="483">
        <f t="shared" si="28"/>
        <v>0</v>
      </c>
      <c r="G142" s="483">
        <f t="shared" si="29"/>
        <v>0</v>
      </c>
      <c r="H142" s="611">
        <f t="shared" si="30"/>
        <v>0</v>
      </c>
      <c r="I142" s="612">
        <f t="shared" si="31"/>
        <v>0</v>
      </c>
      <c r="J142" s="476">
        <f t="shared" si="32"/>
        <v>0</v>
      </c>
      <c r="K142" s="476"/>
      <c r="L142" s="485"/>
      <c r="M142" s="476">
        <f t="shared" si="33"/>
        <v>0</v>
      </c>
      <c r="N142" s="485"/>
      <c r="O142" s="476">
        <f t="shared" si="34"/>
        <v>0</v>
      </c>
      <c r="P142" s="476">
        <f t="shared" si="35"/>
        <v>0</v>
      </c>
    </row>
    <row r="143" spans="2:16">
      <c r="B143" s="160" t="str">
        <f t="shared" si="24"/>
        <v/>
      </c>
      <c r="C143" s="470">
        <f>IF(D93="","-",+C142+1)</f>
        <v>2061</v>
      </c>
      <c r="D143" s="345">
        <f>IF(F142+SUM(E$99:E142)=D$92,F142,D$92-SUM(E$99:E142))</f>
        <v>0</v>
      </c>
      <c r="E143" s="482">
        <f t="shared" si="27"/>
        <v>0</v>
      </c>
      <c r="F143" s="483">
        <f t="shared" si="28"/>
        <v>0</v>
      </c>
      <c r="G143" s="483">
        <f t="shared" si="29"/>
        <v>0</v>
      </c>
      <c r="H143" s="611">
        <f t="shared" si="30"/>
        <v>0</v>
      </c>
      <c r="I143" s="612">
        <f t="shared" si="31"/>
        <v>0</v>
      </c>
      <c r="J143" s="476">
        <f t="shared" si="32"/>
        <v>0</v>
      </c>
      <c r="K143" s="476"/>
      <c r="L143" s="485"/>
      <c r="M143" s="476">
        <f t="shared" si="33"/>
        <v>0</v>
      </c>
      <c r="N143" s="485"/>
      <c r="O143" s="476">
        <f t="shared" si="34"/>
        <v>0</v>
      </c>
      <c r="P143" s="476">
        <f t="shared" si="35"/>
        <v>0</v>
      </c>
    </row>
    <row r="144" spans="2:16">
      <c r="B144" s="160" t="str">
        <f t="shared" si="24"/>
        <v/>
      </c>
      <c r="C144" s="470">
        <f>IF(D93="","-",+C143+1)</f>
        <v>2062</v>
      </c>
      <c r="D144" s="345">
        <f>IF(F143+SUM(E$99:E143)=D$92,F143,D$92-SUM(E$99:E143))</f>
        <v>0</v>
      </c>
      <c r="E144" s="482">
        <f t="shared" si="27"/>
        <v>0</v>
      </c>
      <c r="F144" s="483">
        <f t="shared" si="28"/>
        <v>0</v>
      </c>
      <c r="G144" s="483">
        <f t="shared" si="29"/>
        <v>0</v>
      </c>
      <c r="H144" s="611">
        <f t="shared" si="30"/>
        <v>0</v>
      </c>
      <c r="I144" s="612">
        <f t="shared" si="31"/>
        <v>0</v>
      </c>
      <c r="J144" s="476">
        <f t="shared" si="32"/>
        <v>0</v>
      </c>
      <c r="K144" s="476"/>
      <c r="L144" s="485"/>
      <c r="M144" s="476">
        <f t="shared" si="33"/>
        <v>0</v>
      </c>
      <c r="N144" s="485"/>
      <c r="O144" s="476">
        <f t="shared" si="34"/>
        <v>0</v>
      </c>
      <c r="P144" s="476">
        <f t="shared" si="35"/>
        <v>0</v>
      </c>
    </row>
    <row r="145" spans="2:16">
      <c r="B145" s="160" t="str">
        <f t="shared" si="24"/>
        <v/>
      </c>
      <c r="C145" s="470">
        <f>IF(D93="","-",+C144+1)</f>
        <v>2063</v>
      </c>
      <c r="D145" s="345">
        <f>IF(F144+SUM(E$99:E144)=D$92,F144,D$92-SUM(E$99:E144))</f>
        <v>0</v>
      </c>
      <c r="E145" s="482">
        <f t="shared" si="27"/>
        <v>0</v>
      </c>
      <c r="F145" s="483">
        <f t="shared" si="28"/>
        <v>0</v>
      </c>
      <c r="G145" s="483">
        <f t="shared" si="29"/>
        <v>0</v>
      </c>
      <c r="H145" s="611">
        <f t="shared" si="30"/>
        <v>0</v>
      </c>
      <c r="I145" s="612">
        <f t="shared" si="31"/>
        <v>0</v>
      </c>
      <c r="J145" s="476">
        <f t="shared" si="32"/>
        <v>0</v>
      </c>
      <c r="K145" s="476"/>
      <c r="L145" s="485"/>
      <c r="M145" s="476">
        <f t="shared" si="33"/>
        <v>0</v>
      </c>
      <c r="N145" s="485"/>
      <c r="O145" s="476">
        <f t="shared" si="34"/>
        <v>0</v>
      </c>
      <c r="P145" s="476">
        <f t="shared" si="35"/>
        <v>0</v>
      </c>
    </row>
    <row r="146" spans="2:16">
      <c r="B146" s="160" t="str">
        <f t="shared" si="24"/>
        <v/>
      </c>
      <c r="C146" s="470">
        <f>IF(D93="","-",+C145+1)</f>
        <v>2064</v>
      </c>
      <c r="D146" s="345">
        <f>IF(F145+SUM(E$99:E145)=D$92,F145,D$92-SUM(E$99:E145))</f>
        <v>0</v>
      </c>
      <c r="E146" s="482">
        <f t="shared" si="27"/>
        <v>0</v>
      </c>
      <c r="F146" s="483">
        <f t="shared" si="28"/>
        <v>0</v>
      </c>
      <c r="G146" s="483">
        <f t="shared" si="29"/>
        <v>0</v>
      </c>
      <c r="H146" s="611">
        <f t="shared" si="30"/>
        <v>0</v>
      </c>
      <c r="I146" s="612">
        <f t="shared" si="31"/>
        <v>0</v>
      </c>
      <c r="J146" s="476">
        <f t="shared" si="32"/>
        <v>0</v>
      </c>
      <c r="K146" s="476"/>
      <c r="L146" s="485"/>
      <c r="M146" s="476">
        <f t="shared" si="33"/>
        <v>0</v>
      </c>
      <c r="N146" s="485"/>
      <c r="O146" s="476">
        <f t="shared" si="34"/>
        <v>0</v>
      </c>
      <c r="P146" s="476">
        <f t="shared" si="35"/>
        <v>0</v>
      </c>
    </row>
    <row r="147" spans="2:16">
      <c r="B147" s="160" t="str">
        <f t="shared" si="24"/>
        <v/>
      </c>
      <c r="C147" s="470">
        <f>IF(D93="","-",+C146+1)</f>
        <v>2065</v>
      </c>
      <c r="D147" s="345">
        <f>IF(F146+SUM(E$99:E146)=D$92,F146,D$92-SUM(E$99:E146))</f>
        <v>0</v>
      </c>
      <c r="E147" s="482">
        <f t="shared" si="27"/>
        <v>0</v>
      </c>
      <c r="F147" s="483">
        <f t="shared" si="28"/>
        <v>0</v>
      </c>
      <c r="G147" s="483">
        <f t="shared" si="29"/>
        <v>0</v>
      </c>
      <c r="H147" s="611">
        <f t="shared" si="30"/>
        <v>0</v>
      </c>
      <c r="I147" s="612">
        <f t="shared" si="31"/>
        <v>0</v>
      </c>
      <c r="J147" s="476">
        <f t="shared" si="32"/>
        <v>0</v>
      </c>
      <c r="K147" s="476"/>
      <c r="L147" s="485"/>
      <c r="M147" s="476">
        <f t="shared" si="33"/>
        <v>0</v>
      </c>
      <c r="N147" s="485"/>
      <c r="O147" s="476">
        <f t="shared" si="34"/>
        <v>0</v>
      </c>
      <c r="P147" s="476">
        <f t="shared" si="35"/>
        <v>0</v>
      </c>
    </row>
    <row r="148" spans="2:16">
      <c r="B148" s="160" t="str">
        <f t="shared" si="24"/>
        <v/>
      </c>
      <c r="C148" s="470">
        <f>IF(D93="","-",+C147+1)</f>
        <v>2066</v>
      </c>
      <c r="D148" s="345">
        <f>IF(F147+SUM(E$99:E147)=D$92,F147,D$92-SUM(E$99:E147))</f>
        <v>0</v>
      </c>
      <c r="E148" s="482">
        <f t="shared" si="27"/>
        <v>0</v>
      </c>
      <c r="F148" s="483">
        <f t="shared" si="28"/>
        <v>0</v>
      </c>
      <c r="G148" s="483">
        <f t="shared" si="29"/>
        <v>0</v>
      </c>
      <c r="H148" s="611">
        <f t="shared" si="30"/>
        <v>0</v>
      </c>
      <c r="I148" s="612">
        <f t="shared" si="31"/>
        <v>0</v>
      </c>
      <c r="J148" s="476">
        <f t="shared" si="32"/>
        <v>0</v>
      </c>
      <c r="K148" s="476"/>
      <c r="L148" s="485"/>
      <c r="M148" s="476">
        <f t="shared" si="33"/>
        <v>0</v>
      </c>
      <c r="N148" s="485"/>
      <c r="O148" s="476">
        <f t="shared" si="34"/>
        <v>0</v>
      </c>
      <c r="P148" s="476">
        <f t="shared" si="35"/>
        <v>0</v>
      </c>
    </row>
    <row r="149" spans="2:16">
      <c r="B149" s="160" t="str">
        <f t="shared" si="24"/>
        <v/>
      </c>
      <c r="C149" s="470">
        <f>IF(D93="","-",+C148+1)</f>
        <v>2067</v>
      </c>
      <c r="D149" s="345">
        <f>IF(F148+SUM(E$99:E148)=D$92,F148,D$92-SUM(E$99:E148))</f>
        <v>0</v>
      </c>
      <c r="E149" s="482">
        <f t="shared" si="27"/>
        <v>0</v>
      </c>
      <c r="F149" s="483">
        <f t="shared" si="28"/>
        <v>0</v>
      </c>
      <c r="G149" s="483">
        <f t="shared" si="29"/>
        <v>0</v>
      </c>
      <c r="H149" s="611">
        <f t="shared" si="30"/>
        <v>0</v>
      </c>
      <c r="I149" s="612">
        <f t="shared" si="31"/>
        <v>0</v>
      </c>
      <c r="J149" s="476">
        <f t="shared" si="32"/>
        <v>0</v>
      </c>
      <c r="K149" s="476"/>
      <c r="L149" s="485"/>
      <c r="M149" s="476">
        <f t="shared" si="33"/>
        <v>0</v>
      </c>
      <c r="N149" s="485"/>
      <c r="O149" s="476">
        <f t="shared" si="34"/>
        <v>0</v>
      </c>
      <c r="P149" s="476">
        <f t="shared" si="35"/>
        <v>0</v>
      </c>
    </row>
    <row r="150" spans="2:16">
      <c r="B150" s="160" t="str">
        <f t="shared" si="24"/>
        <v/>
      </c>
      <c r="C150" s="470">
        <f>IF(D93="","-",+C149+1)</f>
        <v>2068</v>
      </c>
      <c r="D150" s="345">
        <f>IF(F149+SUM(E$99:E149)=D$92,F149,D$92-SUM(E$99:E149))</f>
        <v>0</v>
      </c>
      <c r="E150" s="482">
        <f t="shared" si="27"/>
        <v>0</v>
      </c>
      <c r="F150" s="483">
        <f t="shared" si="28"/>
        <v>0</v>
      </c>
      <c r="G150" s="483">
        <f t="shared" si="29"/>
        <v>0</v>
      </c>
      <c r="H150" s="611">
        <f t="shared" si="30"/>
        <v>0</v>
      </c>
      <c r="I150" s="612">
        <f t="shared" si="31"/>
        <v>0</v>
      </c>
      <c r="J150" s="476">
        <f t="shared" si="32"/>
        <v>0</v>
      </c>
      <c r="K150" s="476"/>
      <c r="L150" s="485"/>
      <c r="M150" s="476">
        <f t="shared" si="33"/>
        <v>0</v>
      </c>
      <c r="N150" s="485"/>
      <c r="O150" s="476">
        <f t="shared" si="34"/>
        <v>0</v>
      </c>
      <c r="P150" s="476">
        <f t="shared" si="35"/>
        <v>0</v>
      </c>
    </row>
    <row r="151" spans="2:16">
      <c r="B151" s="160" t="str">
        <f t="shared" si="24"/>
        <v/>
      </c>
      <c r="C151" s="470">
        <f>IF(D93="","-",+C150+1)</f>
        <v>2069</v>
      </c>
      <c r="D151" s="345">
        <f>IF(F150+SUM(E$99:E150)=D$92,F150,D$92-SUM(E$99:E150))</f>
        <v>0</v>
      </c>
      <c r="E151" s="482">
        <f t="shared" si="27"/>
        <v>0</v>
      </c>
      <c r="F151" s="483">
        <f t="shared" si="28"/>
        <v>0</v>
      </c>
      <c r="G151" s="483">
        <f t="shared" si="29"/>
        <v>0</v>
      </c>
      <c r="H151" s="611">
        <f t="shared" si="30"/>
        <v>0</v>
      </c>
      <c r="I151" s="612">
        <f t="shared" si="31"/>
        <v>0</v>
      </c>
      <c r="J151" s="476">
        <f t="shared" si="32"/>
        <v>0</v>
      </c>
      <c r="K151" s="476"/>
      <c r="L151" s="485"/>
      <c r="M151" s="476">
        <f t="shared" si="33"/>
        <v>0</v>
      </c>
      <c r="N151" s="485"/>
      <c r="O151" s="476">
        <f t="shared" si="34"/>
        <v>0</v>
      </c>
      <c r="P151" s="476">
        <f t="shared" si="35"/>
        <v>0</v>
      </c>
    </row>
    <row r="152" spans="2:16">
      <c r="B152" s="160" t="str">
        <f t="shared" si="24"/>
        <v/>
      </c>
      <c r="C152" s="470">
        <f>IF(D93="","-",+C151+1)</f>
        <v>2070</v>
      </c>
      <c r="D152" s="345">
        <f>IF(F151+SUM(E$99:E151)=D$92,F151,D$92-SUM(E$99:E151))</f>
        <v>0</v>
      </c>
      <c r="E152" s="482">
        <f t="shared" si="27"/>
        <v>0</v>
      </c>
      <c r="F152" s="483">
        <f t="shared" si="28"/>
        <v>0</v>
      </c>
      <c r="G152" s="483">
        <f t="shared" si="29"/>
        <v>0</v>
      </c>
      <c r="H152" s="611">
        <f t="shared" si="30"/>
        <v>0</v>
      </c>
      <c r="I152" s="612">
        <f t="shared" si="31"/>
        <v>0</v>
      </c>
      <c r="J152" s="476">
        <f t="shared" si="32"/>
        <v>0</v>
      </c>
      <c r="K152" s="476"/>
      <c r="L152" s="485"/>
      <c r="M152" s="476">
        <f t="shared" si="33"/>
        <v>0</v>
      </c>
      <c r="N152" s="485"/>
      <c r="O152" s="476">
        <f t="shared" si="34"/>
        <v>0</v>
      </c>
      <c r="P152" s="476">
        <f t="shared" si="35"/>
        <v>0</v>
      </c>
    </row>
    <row r="153" spans="2:16">
      <c r="B153" s="160" t="str">
        <f t="shared" si="24"/>
        <v/>
      </c>
      <c r="C153" s="470">
        <f>IF(D93="","-",+C152+1)</f>
        <v>2071</v>
      </c>
      <c r="D153" s="345">
        <f>IF(F152+SUM(E$99:E152)=D$92,F152,D$92-SUM(E$99:E152))</f>
        <v>0</v>
      </c>
      <c r="E153" s="482">
        <f t="shared" si="27"/>
        <v>0</v>
      </c>
      <c r="F153" s="483">
        <f t="shared" si="28"/>
        <v>0</v>
      </c>
      <c r="G153" s="483">
        <f t="shared" si="29"/>
        <v>0</v>
      </c>
      <c r="H153" s="611">
        <f t="shared" si="30"/>
        <v>0</v>
      </c>
      <c r="I153" s="612">
        <f t="shared" si="31"/>
        <v>0</v>
      </c>
      <c r="J153" s="476">
        <f t="shared" si="32"/>
        <v>0</v>
      </c>
      <c r="K153" s="476"/>
      <c r="L153" s="485"/>
      <c r="M153" s="476">
        <f t="shared" si="33"/>
        <v>0</v>
      </c>
      <c r="N153" s="485"/>
      <c r="O153" s="476">
        <f t="shared" si="34"/>
        <v>0</v>
      </c>
      <c r="P153" s="476">
        <f t="shared" si="35"/>
        <v>0</v>
      </c>
    </row>
    <row r="154" spans="2:16" ht="13.5" thickBot="1">
      <c r="B154" s="160" t="str">
        <f t="shared" si="24"/>
        <v/>
      </c>
      <c r="C154" s="487">
        <f>IF(D93="","-",+C153+1)</f>
        <v>2072</v>
      </c>
      <c r="D154" s="541">
        <f>IF(F153+SUM(E$99:E153)=D$92,F153,D$92-SUM(E$99:E153))</f>
        <v>0</v>
      </c>
      <c r="E154" s="489">
        <f t="shared" si="27"/>
        <v>0</v>
      </c>
      <c r="F154" s="488">
        <f t="shared" si="28"/>
        <v>0</v>
      </c>
      <c r="G154" s="488">
        <f t="shared" si="29"/>
        <v>0</v>
      </c>
      <c r="H154" s="613">
        <f t="shared" si="30"/>
        <v>0</v>
      </c>
      <c r="I154" s="614">
        <f t="shared" si="31"/>
        <v>0</v>
      </c>
      <c r="J154" s="493">
        <f t="shared" si="32"/>
        <v>0</v>
      </c>
      <c r="K154" s="476"/>
      <c r="L154" s="492"/>
      <c r="M154" s="493">
        <f t="shared" si="33"/>
        <v>0</v>
      </c>
      <c r="N154" s="492"/>
      <c r="O154" s="493">
        <f t="shared" si="34"/>
        <v>0</v>
      </c>
      <c r="P154" s="493">
        <f t="shared" si="35"/>
        <v>0</v>
      </c>
    </row>
    <row r="155" spans="2:16">
      <c r="C155" s="345" t="s">
        <v>77</v>
      </c>
      <c r="D155" s="346"/>
      <c r="E155" s="346">
        <f>SUM(E99:E154)</f>
        <v>1338977.9100000004</v>
      </c>
      <c r="F155" s="346"/>
      <c r="G155" s="346"/>
      <c r="H155" s="346">
        <f>SUM(H99:H154)</f>
        <v>4421712.6415660633</v>
      </c>
      <c r="I155" s="346">
        <f>SUM(I99:I154)</f>
        <v>4421712.6415660633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31" priority="1" stopIfTrue="1" operator="equal">
      <formula>$I$10</formula>
    </cfRule>
  </conditionalFormatting>
  <conditionalFormatting sqref="C99:C154">
    <cfRule type="cellIs" dxfId="3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69"/>
  <dimension ref="A1:P162"/>
  <sheetViews>
    <sheetView topLeftCell="A93" zoomScaleNormal="100" zoomScaleSheetLayoutView="78" workbookViewId="0">
      <selection activeCell="D99" sqref="D99:I10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20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245885.97075152432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245885.97075152432</v>
      </c>
      <c r="O6" s="231"/>
      <c r="P6" s="231"/>
    </row>
    <row r="7" spans="1:16" ht="13.5" thickBot="1">
      <c r="C7" s="429" t="s">
        <v>46</v>
      </c>
      <c r="D7" s="597" t="s">
        <v>282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297</v>
      </c>
      <c r="E9" s="575" t="s">
        <v>298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1961220.7100000002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2018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12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51611.071315789479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v>2017</v>
      </c>
      <c r="D17" s="582">
        <v>0</v>
      </c>
      <c r="E17" s="606">
        <v>0</v>
      </c>
      <c r="F17" s="582">
        <v>483000</v>
      </c>
      <c r="G17" s="606">
        <v>30733</v>
      </c>
      <c r="H17" s="585">
        <v>30733</v>
      </c>
      <c r="I17" s="473">
        <f t="shared" ref="I17:I72" si="0">H17-G17</f>
        <v>0</v>
      </c>
      <c r="J17" s="473"/>
      <c r="K17" s="475">
        <f t="shared" ref="K17:K22" si="1">+G17</f>
        <v>30733</v>
      </c>
      <c r="L17" s="475">
        <f t="shared" ref="L17:L72" si="2">IF(K17&lt;&gt;0,+G17-K17,0)</f>
        <v>0</v>
      </c>
      <c r="M17" s="475">
        <f t="shared" ref="M17:M22" si="3">+H17</f>
        <v>30733</v>
      </c>
      <c r="N17" s="475">
        <f t="shared" ref="N17:N72" si="4">IF(M17&lt;&gt;0,+H17-M17,0)</f>
        <v>0</v>
      </c>
      <c r="O17" s="476">
        <f t="shared" ref="O17:O72" si="5">+N17-L17</f>
        <v>0</v>
      </c>
      <c r="P17" s="241"/>
    </row>
    <row r="18" spans="2:16">
      <c r="B18" s="160" t="str">
        <f>IF(D18=F17,"","IU")</f>
        <v/>
      </c>
      <c r="C18" s="470">
        <f>IF(D11="","-",+C17+1)</f>
        <v>2018</v>
      </c>
      <c r="D18" s="582">
        <v>483000</v>
      </c>
      <c r="E18" s="583">
        <v>10555.555555555555</v>
      </c>
      <c r="F18" s="582">
        <v>1140000</v>
      </c>
      <c r="G18" s="583">
        <v>78818.151758984837</v>
      </c>
      <c r="H18" s="585">
        <v>78818.151758984837</v>
      </c>
      <c r="I18" s="473">
        <f t="shared" si="0"/>
        <v>0</v>
      </c>
      <c r="J18" s="473"/>
      <c r="K18" s="476">
        <f t="shared" si="1"/>
        <v>78818.151758984837</v>
      </c>
      <c r="L18" s="476">
        <f t="shared" si="2"/>
        <v>0</v>
      </c>
      <c r="M18" s="476">
        <f t="shared" si="3"/>
        <v>78818.151758984837</v>
      </c>
      <c r="N18" s="476">
        <f t="shared" si="4"/>
        <v>0</v>
      </c>
      <c r="O18" s="476">
        <f t="shared" si="5"/>
        <v>0</v>
      </c>
      <c r="P18" s="241"/>
    </row>
    <row r="19" spans="2:16">
      <c r="B19" s="160" t="str">
        <f>IF(D19=F18,"","IU")</f>
        <v>IU</v>
      </c>
      <c r="C19" s="470">
        <f>IF(D11="","-",+C18+1)</f>
        <v>2019</v>
      </c>
      <c r="D19" s="582">
        <v>1129444.4444444445</v>
      </c>
      <c r="E19" s="583">
        <v>28500</v>
      </c>
      <c r="F19" s="582">
        <v>1100944.4444444445</v>
      </c>
      <c r="G19" s="583">
        <v>153018.85490841107</v>
      </c>
      <c r="H19" s="585">
        <v>153018.85490841107</v>
      </c>
      <c r="I19" s="473">
        <f t="shared" si="0"/>
        <v>0</v>
      </c>
      <c r="J19" s="473"/>
      <c r="K19" s="476">
        <f t="shared" si="1"/>
        <v>153018.85490841107</v>
      </c>
      <c r="L19" s="476">
        <f t="shared" ref="L19" si="6">IF(K19&lt;&gt;0,+G19-K19,0)</f>
        <v>0</v>
      </c>
      <c r="M19" s="476">
        <f t="shared" si="3"/>
        <v>153018.85490841107</v>
      </c>
      <c r="N19" s="476">
        <f t="shared" si="4"/>
        <v>0</v>
      </c>
      <c r="O19" s="476">
        <f t="shared" si="5"/>
        <v>0</v>
      </c>
      <c r="P19" s="241"/>
    </row>
    <row r="20" spans="2:16">
      <c r="B20" s="160" t="str">
        <f t="shared" ref="B20:B72" si="7">IF(D20=F19,"","IU")</f>
        <v>IU</v>
      </c>
      <c r="C20" s="470">
        <f>IF(D11="","-",+C19+1)</f>
        <v>2020</v>
      </c>
      <c r="D20" s="582">
        <v>1883840.111111111</v>
      </c>
      <c r="E20" s="583">
        <v>45707.833333333336</v>
      </c>
      <c r="F20" s="582">
        <v>1838132.2777777778</v>
      </c>
      <c r="G20" s="583">
        <v>246703.23209680832</v>
      </c>
      <c r="H20" s="585">
        <v>246703.23209680832</v>
      </c>
      <c r="I20" s="473">
        <f t="shared" si="0"/>
        <v>0</v>
      </c>
      <c r="J20" s="473"/>
      <c r="K20" s="476">
        <f t="shared" si="1"/>
        <v>246703.23209680832</v>
      </c>
      <c r="L20" s="476">
        <f t="shared" ref="L20" si="8">IF(K20&lt;&gt;0,+G20-K20,0)</f>
        <v>0</v>
      </c>
      <c r="M20" s="476">
        <f t="shared" si="3"/>
        <v>246703.23209680832</v>
      </c>
      <c r="N20" s="476">
        <f t="shared" si="4"/>
        <v>0</v>
      </c>
      <c r="O20" s="476">
        <f t="shared" si="5"/>
        <v>0</v>
      </c>
      <c r="P20" s="241"/>
    </row>
    <row r="21" spans="2:16">
      <c r="B21" s="160" t="str">
        <f t="shared" si="7"/>
        <v>IU</v>
      </c>
      <c r="C21" s="470">
        <f>IF(D11="","-",+C20+1)</f>
        <v>2021</v>
      </c>
      <c r="D21" s="582">
        <v>1876457.611111111</v>
      </c>
      <c r="E21" s="583">
        <v>45609.79069767442</v>
      </c>
      <c r="F21" s="582">
        <v>1830847.8204134365</v>
      </c>
      <c r="G21" s="583">
        <v>245473.68855677257</v>
      </c>
      <c r="H21" s="585">
        <v>245473.68855677257</v>
      </c>
      <c r="I21" s="473">
        <f t="shared" si="0"/>
        <v>0</v>
      </c>
      <c r="J21" s="473"/>
      <c r="K21" s="476">
        <f t="shared" si="1"/>
        <v>245473.68855677257</v>
      </c>
      <c r="L21" s="476">
        <f t="shared" ref="L21" si="9">IF(K21&lt;&gt;0,+G21-K21,0)</f>
        <v>0</v>
      </c>
      <c r="M21" s="476">
        <f t="shared" si="3"/>
        <v>245473.68855677257</v>
      </c>
      <c r="N21" s="476">
        <f t="shared" si="4"/>
        <v>0</v>
      </c>
      <c r="O21" s="476">
        <f t="shared" si="5"/>
        <v>0</v>
      </c>
      <c r="P21" s="241"/>
    </row>
    <row r="22" spans="2:16">
      <c r="B22" s="160" t="str">
        <f t="shared" si="7"/>
        <v/>
      </c>
      <c r="C22" s="470">
        <f>IF(D11="","-",+C21+1)</f>
        <v>2022</v>
      </c>
      <c r="D22" s="582">
        <v>1830847.8204134365</v>
      </c>
      <c r="E22" s="583">
        <v>46695.738095238092</v>
      </c>
      <c r="F22" s="582">
        <v>1784152.0823181984</v>
      </c>
      <c r="G22" s="583">
        <v>241564.55964853393</v>
      </c>
      <c r="H22" s="585">
        <v>241564.55964853393</v>
      </c>
      <c r="I22" s="473">
        <f t="shared" si="0"/>
        <v>0</v>
      </c>
      <c r="J22" s="473"/>
      <c r="K22" s="476">
        <f t="shared" si="1"/>
        <v>241564.55964853393</v>
      </c>
      <c r="L22" s="476">
        <f t="shared" ref="L22" si="10">IF(K22&lt;&gt;0,+G22-K22,0)</f>
        <v>0</v>
      </c>
      <c r="M22" s="476">
        <f t="shared" si="3"/>
        <v>241564.55964853393</v>
      </c>
      <c r="N22" s="476">
        <f t="shared" si="4"/>
        <v>0</v>
      </c>
      <c r="O22" s="476">
        <f t="shared" si="5"/>
        <v>0</v>
      </c>
      <c r="P22" s="241"/>
    </row>
    <row r="23" spans="2:16">
      <c r="B23" s="160" t="str">
        <f t="shared" si="7"/>
        <v>IU</v>
      </c>
      <c r="C23" s="470">
        <f>IF(D11="","-",+C22+1)</f>
        <v>2023</v>
      </c>
      <c r="D23" s="582">
        <v>1784151.7923181988</v>
      </c>
      <c r="E23" s="583">
        <v>50287.710512820515</v>
      </c>
      <c r="F23" s="582">
        <v>1733864.0818053782</v>
      </c>
      <c r="G23" s="583">
        <v>260241.05207749119</v>
      </c>
      <c r="H23" s="585">
        <v>260241.05207749119</v>
      </c>
      <c r="I23" s="473">
        <f t="shared" si="0"/>
        <v>0</v>
      </c>
      <c r="J23" s="473"/>
      <c r="K23" s="476">
        <f t="shared" ref="K23" si="11">+G23</f>
        <v>260241.05207749119</v>
      </c>
      <c r="L23" s="476">
        <f t="shared" ref="L23" si="12">IF(K23&lt;&gt;0,+G23-K23,0)</f>
        <v>0</v>
      </c>
      <c r="M23" s="476">
        <f t="shared" ref="M23" si="13">+H23</f>
        <v>260241.05207749119</v>
      </c>
      <c r="N23" s="476">
        <f t="shared" ref="N23" si="14">IF(M23&lt;&gt;0,+H23-M23,0)</f>
        <v>0</v>
      </c>
      <c r="O23" s="476">
        <f t="shared" ref="O23" si="15">+N23-L23</f>
        <v>0</v>
      </c>
      <c r="P23" s="241"/>
    </row>
    <row r="24" spans="2:16">
      <c r="B24" s="160" t="str">
        <f t="shared" si="7"/>
        <v/>
      </c>
      <c r="C24" s="631">
        <f>IF(D11="","-",+C23+1)</f>
        <v>2024</v>
      </c>
      <c r="D24" s="481">
        <f>IF(F23+SUM(E$17:E23)=D$10,F23,D$10-SUM(E$17:E23))</f>
        <v>1733864.0818053782</v>
      </c>
      <c r="E24" s="482">
        <f t="shared" ref="E24:E72" si="16">IF(+I$14&lt;F23,I$14,D24)</f>
        <v>51611.071315789479</v>
      </c>
      <c r="F24" s="483">
        <f t="shared" ref="F24:F72" si="17">+D24-E24</f>
        <v>1682253.0104895886</v>
      </c>
      <c r="G24" s="484">
        <f t="shared" ref="G24:G72" si="18">(D24+F24)/2*I$12+E24</f>
        <v>245885.97075152432</v>
      </c>
      <c r="H24" s="453">
        <f t="shared" ref="H24:H72" si="19">+(D24+F24)/2*I$13+E24</f>
        <v>245885.97075152432</v>
      </c>
      <c r="I24" s="473">
        <f t="shared" si="0"/>
        <v>0</v>
      </c>
      <c r="J24" s="473"/>
      <c r="K24" s="485"/>
      <c r="L24" s="476">
        <f t="shared" si="2"/>
        <v>0</v>
      </c>
      <c r="M24" s="485"/>
      <c r="N24" s="476">
        <f t="shared" si="4"/>
        <v>0</v>
      </c>
      <c r="O24" s="476">
        <f t="shared" si="5"/>
        <v>0</v>
      </c>
      <c r="P24" s="241"/>
    </row>
    <row r="25" spans="2:16">
      <c r="B25" s="160" t="str">
        <f t="shared" si="7"/>
        <v/>
      </c>
      <c r="C25" s="470">
        <f>IF(D11="","-",+C24+1)</f>
        <v>2025</v>
      </c>
      <c r="D25" s="481">
        <f>IF(F24+SUM(E$17:E24)=D$10,F24,D$10-SUM(E$17:E24))</f>
        <v>1682253.0104895886</v>
      </c>
      <c r="E25" s="482">
        <f t="shared" si="16"/>
        <v>51611.071315789479</v>
      </c>
      <c r="F25" s="483">
        <f t="shared" si="17"/>
        <v>1630641.939173799</v>
      </c>
      <c r="G25" s="484">
        <f t="shared" si="18"/>
        <v>240015.71781888287</v>
      </c>
      <c r="H25" s="453">
        <f t="shared" si="19"/>
        <v>240015.71781888287</v>
      </c>
      <c r="I25" s="473">
        <f t="shared" si="0"/>
        <v>0</v>
      </c>
      <c r="J25" s="473"/>
      <c r="K25" s="485"/>
      <c r="L25" s="476">
        <f t="shared" si="2"/>
        <v>0</v>
      </c>
      <c r="M25" s="485"/>
      <c r="N25" s="476">
        <f t="shared" si="4"/>
        <v>0</v>
      </c>
      <c r="O25" s="476">
        <f t="shared" si="5"/>
        <v>0</v>
      </c>
      <c r="P25" s="241"/>
    </row>
    <row r="26" spans="2:16">
      <c r="B26" s="160" t="str">
        <f t="shared" si="7"/>
        <v/>
      </c>
      <c r="C26" s="470">
        <f>IF(D11="","-",+C25+1)</f>
        <v>2026</v>
      </c>
      <c r="D26" s="481">
        <f>IF(F25+SUM(E$17:E25)=D$10,F25,D$10-SUM(E$17:E25))</f>
        <v>1630641.939173799</v>
      </c>
      <c r="E26" s="482">
        <f t="shared" si="16"/>
        <v>51611.071315789479</v>
      </c>
      <c r="F26" s="483">
        <f t="shared" si="17"/>
        <v>1579030.8678580094</v>
      </c>
      <c r="G26" s="484">
        <f t="shared" si="18"/>
        <v>234145.46488624142</v>
      </c>
      <c r="H26" s="453">
        <f t="shared" si="19"/>
        <v>234145.46488624142</v>
      </c>
      <c r="I26" s="473">
        <f t="shared" si="0"/>
        <v>0</v>
      </c>
      <c r="J26" s="473"/>
      <c r="K26" s="485"/>
      <c r="L26" s="476">
        <f t="shared" si="2"/>
        <v>0</v>
      </c>
      <c r="M26" s="485"/>
      <c r="N26" s="476">
        <f t="shared" si="4"/>
        <v>0</v>
      </c>
      <c r="O26" s="476">
        <f t="shared" si="5"/>
        <v>0</v>
      </c>
      <c r="P26" s="241"/>
    </row>
    <row r="27" spans="2:16">
      <c r="B27" s="160" t="str">
        <f t="shared" si="7"/>
        <v/>
      </c>
      <c r="C27" s="470">
        <f>IF(D11="","-",+C26+1)</f>
        <v>2027</v>
      </c>
      <c r="D27" s="481">
        <f>IF(F26+SUM(E$17:E26)=D$10,F26,D$10-SUM(E$17:E26))</f>
        <v>1579030.8678580094</v>
      </c>
      <c r="E27" s="482">
        <f t="shared" si="16"/>
        <v>51611.071315789479</v>
      </c>
      <c r="F27" s="483">
        <f t="shared" si="17"/>
        <v>1527419.7965422198</v>
      </c>
      <c r="G27" s="484">
        <f t="shared" si="18"/>
        <v>228275.21195359997</v>
      </c>
      <c r="H27" s="453">
        <f t="shared" si="19"/>
        <v>228275.21195359997</v>
      </c>
      <c r="I27" s="473">
        <f t="shared" si="0"/>
        <v>0</v>
      </c>
      <c r="J27" s="473"/>
      <c r="K27" s="485"/>
      <c r="L27" s="476">
        <f t="shared" si="2"/>
        <v>0</v>
      </c>
      <c r="M27" s="485"/>
      <c r="N27" s="476">
        <f t="shared" si="4"/>
        <v>0</v>
      </c>
      <c r="O27" s="476">
        <f t="shared" si="5"/>
        <v>0</v>
      </c>
      <c r="P27" s="241"/>
    </row>
    <row r="28" spans="2:16">
      <c r="B28" s="160" t="str">
        <f t="shared" si="7"/>
        <v/>
      </c>
      <c r="C28" s="470">
        <f>IF(D11="","-",+C27+1)</f>
        <v>2028</v>
      </c>
      <c r="D28" s="481">
        <f>IF(F27+SUM(E$17:E27)=D$10,F27,D$10-SUM(E$17:E27))</f>
        <v>1527419.7965422198</v>
      </c>
      <c r="E28" s="482">
        <f t="shared" si="16"/>
        <v>51611.071315789479</v>
      </c>
      <c r="F28" s="483">
        <f t="shared" si="17"/>
        <v>1475808.7252264302</v>
      </c>
      <c r="G28" s="484">
        <f t="shared" si="18"/>
        <v>222404.95902095851</v>
      </c>
      <c r="H28" s="453">
        <f t="shared" si="19"/>
        <v>222404.95902095851</v>
      </c>
      <c r="I28" s="473">
        <f t="shared" si="0"/>
        <v>0</v>
      </c>
      <c r="J28" s="473"/>
      <c r="K28" s="485"/>
      <c r="L28" s="476">
        <f t="shared" si="2"/>
        <v>0</v>
      </c>
      <c r="M28" s="485"/>
      <c r="N28" s="476">
        <f t="shared" si="4"/>
        <v>0</v>
      </c>
      <c r="O28" s="476">
        <f t="shared" si="5"/>
        <v>0</v>
      </c>
      <c r="P28" s="241"/>
    </row>
    <row r="29" spans="2:16">
      <c r="B29" s="160" t="str">
        <f t="shared" si="7"/>
        <v/>
      </c>
      <c r="C29" s="470">
        <f>IF(D11="","-",+C28+1)</f>
        <v>2029</v>
      </c>
      <c r="D29" s="481">
        <f>IF(F28+SUM(E$17:E28)=D$10,F28,D$10-SUM(E$17:E28))</f>
        <v>1475808.7252264302</v>
      </c>
      <c r="E29" s="482">
        <f t="shared" si="16"/>
        <v>51611.071315789479</v>
      </c>
      <c r="F29" s="483">
        <f t="shared" si="17"/>
        <v>1424197.6539106406</v>
      </c>
      <c r="G29" s="484">
        <f t="shared" si="18"/>
        <v>216534.70608831706</v>
      </c>
      <c r="H29" s="453">
        <f t="shared" si="19"/>
        <v>216534.70608831706</v>
      </c>
      <c r="I29" s="473">
        <f t="shared" si="0"/>
        <v>0</v>
      </c>
      <c r="J29" s="473"/>
      <c r="K29" s="485"/>
      <c r="L29" s="476">
        <f t="shared" si="2"/>
        <v>0</v>
      </c>
      <c r="M29" s="485"/>
      <c r="N29" s="476">
        <f t="shared" si="4"/>
        <v>0</v>
      </c>
      <c r="O29" s="476">
        <f t="shared" si="5"/>
        <v>0</v>
      </c>
      <c r="P29" s="241"/>
    </row>
    <row r="30" spans="2:16">
      <c r="B30" s="160" t="str">
        <f t="shared" si="7"/>
        <v/>
      </c>
      <c r="C30" s="470">
        <f>IF(D11="","-",+C29+1)</f>
        <v>2030</v>
      </c>
      <c r="D30" s="481">
        <f>IF(F29+SUM(E$17:E29)=D$10,F29,D$10-SUM(E$17:E29))</f>
        <v>1424197.6539106406</v>
      </c>
      <c r="E30" s="482">
        <f t="shared" si="16"/>
        <v>51611.071315789479</v>
      </c>
      <c r="F30" s="483">
        <f t="shared" si="17"/>
        <v>1372586.582594851</v>
      </c>
      <c r="G30" s="484">
        <f t="shared" si="18"/>
        <v>210664.45315567561</v>
      </c>
      <c r="H30" s="453">
        <f t="shared" si="19"/>
        <v>210664.45315567561</v>
      </c>
      <c r="I30" s="473">
        <f t="shared" si="0"/>
        <v>0</v>
      </c>
      <c r="J30" s="473"/>
      <c r="K30" s="485"/>
      <c r="L30" s="476">
        <f t="shared" si="2"/>
        <v>0</v>
      </c>
      <c r="M30" s="485"/>
      <c r="N30" s="476">
        <f t="shared" si="4"/>
        <v>0</v>
      </c>
      <c r="O30" s="476">
        <f t="shared" si="5"/>
        <v>0</v>
      </c>
      <c r="P30" s="241"/>
    </row>
    <row r="31" spans="2:16">
      <c r="B31" s="160" t="str">
        <f t="shared" si="7"/>
        <v/>
      </c>
      <c r="C31" s="470">
        <f>IF(D11="","-",+C30+1)</f>
        <v>2031</v>
      </c>
      <c r="D31" s="481">
        <f>IF(F30+SUM(E$17:E30)=D$10,F30,D$10-SUM(E$17:E30))</f>
        <v>1372586.582594851</v>
      </c>
      <c r="E31" s="482">
        <f t="shared" si="16"/>
        <v>51611.071315789479</v>
      </c>
      <c r="F31" s="483">
        <f t="shared" si="17"/>
        <v>1320975.5112790614</v>
      </c>
      <c r="G31" s="484">
        <f t="shared" si="18"/>
        <v>204794.20022303416</v>
      </c>
      <c r="H31" s="453">
        <f t="shared" si="19"/>
        <v>204794.20022303416</v>
      </c>
      <c r="I31" s="473">
        <f t="shared" si="0"/>
        <v>0</v>
      </c>
      <c r="J31" s="473"/>
      <c r="K31" s="485"/>
      <c r="L31" s="476">
        <f t="shared" si="2"/>
        <v>0</v>
      </c>
      <c r="M31" s="485"/>
      <c r="N31" s="476">
        <f t="shared" si="4"/>
        <v>0</v>
      </c>
      <c r="O31" s="476">
        <f t="shared" si="5"/>
        <v>0</v>
      </c>
      <c r="P31" s="241"/>
    </row>
    <row r="32" spans="2:16">
      <c r="B32" s="160" t="str">
        <f t="shared" si="7"/>
        <v/>
      </c>
      <c r="C32" s="470">
        <f>IF(D11="","-",+C31+1)</f>
        <v>2032</v>
      </c>
      <c r="D32" s="481">
        <f>IF(F31+SUM(E$17:E31)=D$10,F31,D$10-SUM(E$17:E31))</f>
        <v>1320975.5112790614</v>
      </c>
      <c r="E32" s="482">
        <f t="shared" si="16"/>
        <v>51611.071315789479</v>
      </c>
      <c r="F32" s="483">
        <f t="shared" si="17"/>
        <v>1269364.4399632718</v>
      </c>
      <c r="G32" s="484">
        <f t="shared" si="18"/>
        <v>198923.94729039271</v>
      </c>
      <c r="H32" s="453">
        <f t="shared" si="19"/>
        <v>198923.94729039271</v>
      </c>
      <c r="I32" s="473">
        <f t="shared" si="0"/>
        <v>0</v>
      </c>
      <c r="J32" s="473"/>
      <c r="K32" s="485"/>
      <c r="L32" s="476">
        <f t="shared" si="2"/>
        <v>0</v>
      </c>
      <c r="M32" s="485"/>
      <c r="N32" s="476">
        <f t="shared" si="4"/>
        <v>0</v>
      </c>
      <c r="O32" s="476">
        <f t="shared" si="5"/>
        <v>0</v>
      </c>
      <c r="P32" s="241"/>
    </row>
    <row r="33" spans="2:16">
      <c r="B33" s="160" t="str">
        <f t="shared" si="7"/>
        <v/>
      </c>
      <c r="C33" s="470">
        <f>IF(D11="","-",+C32+1)</f>
        <v>2033</v>
      </c>
      <c r="D33" s="481">
        <f>IF(F32+SUM(E$17:E32)=D$10,F32,D$10-SUM(E$17:E32))</f>
        <v>1269364.4399632718</v>
      </c>
      <c r="E33" s="482">
        <f t="shared" si="16"/>
        <v>51611.071315789479</v>
      </c>
      <c r="F33" s="483">
        <f t="shared" si="17"/>
        <v>1217753.3686474822</v>
      </c>
      <c r="G33" s="484">
        <f t="shared" si="18"/>
        <v>193053.69435775123</v>
      </c>
      <c r="H33" s="453">
        <f t="shared" si="19"/>
        <v>193053.69435775123</v>
      </c>
      <c r="I33" s="473">
        <f t="shared" si="0"/>
        <v>0</v>
      </c>
      <c r="J33" s="473"/>
      <c r="K33" s="485"/>
      <c r="L33" s="476">
        <f t="shared" si="2"/>
        <v>0</v>
      </c>
      <c r="M33" s="485"/>
      <c r="N33" s="476">
        <f t="shared" si="4"/>
        <v>0</v>
      </c>
      <c r="O33" s="476">
        <f t="shared" si="5"/>
        <v>0</v>
      </c>
      <c r="P33" s="241"/>
    </row>
    <row r="34" spans="2:16">
      <c r="B34" s="160" t="str">
        <f t="shared" si="7"/>
        <v/>
      </c>
      <c r="C34" s="470">
        <f>IF(D11="","-",+C33+1)</f>
        <v>2034</v>
      </c>
      <c r="D34" s="481">
        <f>IF(F33+SUM(E$17:E33)=D$10,F33,D$10-SUM(E$17:E33))</f>
        <v>1217753.3686474822</v>
      </c>
      <c r="E34" s="482">
        <f t="shared" si="16"/>
        <v>51611.071315789479</v>
      </c>
      <c r="F34" s="483">
        <f t="shared" si="17"/>
        <v>1166142.2973316927</v>
      </c>
      <c r="G34" s="484">
        <f t="shared" si="18"/>
        <v>187183.44142510978</v>
      </c>
      <c r="H34" s="453">
        <f t="shared" si="19"/>
        <v>187183.44142510978</v>
      </c>
      <c r="I34" s="473">
        <f t="shared" si="0"/>
        <v>0</v>
      </c>
      <c r="J34" s="473"/>
      <c r="K34" s="485"/>
      <c r="L34" s="476">
        <f t="shared" si="2"/>
        <v>0</v>
      </c>
      <c r="M34" s="485"/>
      <c r="N34" s="476">
        <f t="shared" si="4"/>
        <v>0</v>
      </c>
      <c r="O34" s="476">
        <f t="shared" si="5"/>
        <v>0</v>
      </c>
      <c r="P34" s="241"/>
    </row>
    <row r="35" spans="2:16">
      <c r="B35" s="160" t="str">
        <f t="shared" si="7"/>
        <v/>
      </c>
      <c r="C35" s="470">
        <f>IF(D11="","-",+C34+1)</f>
        <v>2035</v>
      </c>
      <c r="D35" s="481">
        <f>IF(F34+SUM(E$17:E34)=D$10,F34,D$10-SUM(E$17:E34))</f>
        <v>1166142.2973316927</v>
      </c>
      <c r="E35" s="482">
        <f t="shared" si="16"/>
        <v>51611.071315789479</v>
      </c>
      <c r="F35" s="483">
        <f t="shared" si="17"/>
        <v>1114531.2260159031</v>
      </c>
      <c r="G35" s="484">
        <f t="shared" si="18"/>
        <v>181313.18849246833</v>
      </c>
      <c r="H35" s="453">
        <f t="shared" si="19"/>
        <v>181313.18849246833</v>
      </c>
      <c r="I35" s="473">
        <f t="shared" si="0"/>
        <v>0</v>
      </c>
      <c r="J35" s="473"/>
      <c r="K35" s="485"/>
      <c r="L35" s="476">
        <f t="shared" si="2"/>
        <v>0</v>
      </c>
      <c r="M35" s="485"/>
      <c r="N35" s="476">
        <f t="shared" si="4"/>
        <v>0</v>
      </c>
      <c r="O35" s="476">
        <f t="shared" si="5"/>
        <v>0</v>
      </c>
      <c r="P35" s="241"/>
    </row>
    <row r="36" spans="2:16">
      <c r="B36" s="160" t="str">
        <f t="shared" si="7"/>
        <v/>
      </c>
      <c r="C36" s="470">
        <f>IF(D11="","-",+C35+1)</f>
        <v>2036</v>
      </c>
      <c r="D36" s="481">
        <f>IF(F35+SUM(E$17:E35)=D$10,F35,D$10-SUM(E$17:E35))</f>
        <v>1114531.2260159031</v>
      </c>
      <c r="E36" s="482">
        <f t="shared" si="16"/>
        <v>51611.071315789479</v>
      </c>
      <c r="F36" s="483">
        <f t="shared" si="17"/>
        <v>1062920.1547001135</v>
      </c>
      <c r="G36" s="484">
        <f t="shared" si="18"/>
        <v>175442.93555982687</v>
      </c>
      <c r="H36" s="453">
        <f t="shared" si="19"/>
        <v>175442.93555982687</v>
      </c>
      <c r="I36" s="473">
        <f t="shared" si="0"/>
        <v>0</v>
      </c>
      <c r="J36" s="473"/>
      <c r="K36" s="485"/>
      <c r="L36" s="476">
        <f t="shared" si="2"/>
        <v>0</v>
      </c>
      <c r="M36" s="485"/>
      <c r="N36" s="476">
        <f t="shared" si="4"/>
        <v>0</v>
      </c>
      <c r="O36" s="476">
        <f t="shared" si="5"/>
        <v>0</v>
      </c>
      <c r="P36" s="241"/>
    </row>
    <row r="37" spans="2:16">
      <c r="B37" s="160" t="str">
        <f t="shared" si="7"/>
        <v/>
      </c>
      <c r="C37" s="470">
        <f>IF(D11="","-",+C36+1)</f>
        <v>2037</v>
      </c>
      <c r="D37" s="481">
        <f>IF(F36+SUM(E$17:E36)=D$10,F36,D$10-SUM(E$17:E36))</f>
        <v>1062920.1547001135</v>
      </c>
      <c r="E37" s="482">
        <f t="shared" si="16"/>
        <v>51611.071315789479</v>
      </c>
      <c r="F37" s="483">
        <f t="shared" si="17"/>
        <v>1011309.083384324</v>
      </c>
      <c r="G37" s="484">
        <f t="shared" si="18"/>
        <v>169572.68262718542</v>
      </c>
      <c r="H37" s="453">
        <f t="shared" si="19"/>
        <v>169572.68262718542</v>
      </c>
      <c r="I37" s="473">
        <f t="shared" si="0"/>
        <v>0</v>
      </c>
      <c r="J37" s="473"/>
      <c r="K37" s="485"/>
      <c r="L37" s="476">
        <f t="shared" si="2"/>
        <v>0</v>
      </c>
      <c r="M37" s="485"/>
      <c r="N37" s="476">
        <f t="shared" si="4"/>
        <v>0</v>
      </c>
      <c r="O37" s="476">
        <f t="shared" si="5"/>
        <v>0</v>
      </c>
      <c r="P37" s="241"/>
    </row>
    <row r="38" spans="2:16">
      <c r="B38" s="160" t="str">
        <f t="shared" si="7"/>
        <v/>
      </c>
      <c r="C38" s="470">
        <f>IF(D11="","-",+C37+1)</f>
        <v>2038</v>
      </c>
      <c r="D38" s="481">
        <f>IF(F37+SUM(E$17:E37)=D$10,F37,D$10-SUM(E$17:E37))</f>
        <v>1011309.083384324</v>
      </c>
      <c r="E38" s="482">
        <f t="shared" si="16"/>
        <v>51611.071315789479</v>
      </c>
      <c r="F38" s="483">
        <f t="shared" si="17"/>
        <v>959698.0120685345</v>
      </c>
      <c r="G38" s="484">
        <f t="shared" si="18"/>
        <v>163702.429694544</v>
      </c>
      <c r="H38" s="453">
        <f t="shared" si="19"/>
        <v>163702.429694544</v>
      </c>
      <c r="I38" s="473">
        <f t="shared" si="0"/>
        <v>0</v>
      </c>
      <c r="J38" s="473"/>
      <c r="K38" s="485"/>
      <c r="L38" s="476">
        <f t="shared" si="2"/>
        <v>0</v>
      </c>
      <c r="M38" s="485"/>
      <c r="N38" s="476">
        <f t="shared" si="4"/>
        <v>0</v>
      </c>
      <c r="O38" s="476">
        <f t="shared" si="5"/>
        <v>0</v>
      </c>
      <c r="P38" s="241"/>
    </row>
    <row r="39" spans="2:16">
      <c r="B39" s="160" t="str">
        <f t="shared" si="7"/>
        <v/>
      </c>
      <c r="C39" s="470">
        <f>IF(D11="","-",+C38+1)</f>
        <v>2039</v>
      </c>
      <c r="D39" s="481">
        <f>IF(F38+SUM(E$17:E38)=D$10,F38,D$10-SUM(E$17:E38))</f>
        <v>959698.0120685345</v>
      </c>
      <c r="E39" s="482">
        <f t="shared" si="16"/>
        <v>51611.071315789479</v>
      </c>
      <c r="F39" s="483">
        <f t="shared" si="17"/>
        <v>908086.94075274502</v>
      </c>
      <c r="G39" s="484">
        <f t="shared" si="18"/>
        <v>157832.17676190255</v>
      </c>
      <c r="H39" s="453">
        <f t="shared" si="19"/>
        <v>157832.17676190255</v>
      </c>
      <c r="I39" s="473">
        <f t="shared" si="0"/>
        <v>0</v>
      </c>
      <c r="J39" s="473"/>
      <c r="K39" s="485"/>
      <c r="L39" s="476">
        <f t="shared" si="2"/>
        <v>0</v>
      </c>
      <c r="M39" s="485"/>
      <c r="N39" s="476">
        <f t="shared" si="4"/>
        <v>0</v>
      </c>
      <c r="O39" s="476">
        <f t="shared" si="5"/>
        <v>0</v>
      </c>
      <c r="P39" s="241"/>
    </row>
    <row r="40" spans="2:16">
      <c r="B40" s="160" t="str">
        <f t="shared" si="7"/>
        <v/>
      </c>
      <c r="C40" s="470">
        <f>IF(D11="","-",+C39+1)</f>
        <v>2040</v>
      </c>
      <c r="D40" s="481">
        <f>IF(F39+SUM(E$17:E39)=D$10,F39,D$10-SUM(E$17:E39))</f>
        <v>908086.94075274502</v>
      </c>
      <c r="E40" s="482">
        <f t="shared" si="16"/>
        <v>51611.071315789479</v>
      </c>
      <c r="F40" s="483">
        <f t="shared" si="17"/>
        <v>856475.86943695555</v>
      </c>
      <c r="G40" s="484">
        <f t="shared" si="18"/>
        <v>151961.9238292611</v>
      </c>
      <c r="H40" s="453">
        <f t="shared" si="19"/>
        <v>151961.9238292611</v>
      </c>
      <c r="I40" s="473">
        <f t="shared" si="0"/>
        <v>0</v>
      </c>
      <c r="J40" s="473"/>
      <c r="K40" s="485"/>
      <c r="L40" s="476">
        <f t="shared" si="2"/>
        <v>0</v>
      </c>
      <c r="M40" s="485"/>
      <c r="N40" s="476">
        <f t="shared" si="4"/>
        <v>0</v>
      </c>
      <c r="O40" s="476">
        <f t="shared" si="5"/>
        <v>0</v>
      </c>
      <c r="P40" s="241"/>
    </row>
    <row r="41" spans="2:16">
      <c r="B41" s="160" t="str">
        <f t="shared" si="7"/>
        <v/>
      </c>
      <c r="C41" s="470">
        <f>IF(D11="","-",+C40+1)</f>
        <v>2041</v>
      </c>
      <c r="D41" s="481">
        <f>IF(F40+SUM(E$17:E40)=D$10,F40,D$10-SUM(E$17:E40))</f>
        <v>856475.86943695555</v>
      </c>
      <c r="E41" s="482">
        <f t="shared" si="16"/>
        <v>51611.071315789479</v>
      </c>
      <c r="F41" s="483">
        <f t="shared" si="17"/>
        <v>804864.79812116607</v>
      </c>
      <c r="G41" s="484">
        <f t="shared" si="18"/>
        <v>146091.67089661967</v>
      </c>
      <c r="H41" s="453">
        <f t="shared" si="19"/>
        <v>146091.67089661967</v>
      </c>
      <c r="I41" s="473">
        <f t="shared" si="0"/>
        <v>0</v>
      </c>
      <c r="J41" s="473"/>
      <c r="K41" s="485"/>
      <c r="L41" s="476">
        <f t="shared" si="2"/>
        <v>0</v>
      </c>
      <c r="M41" s="485"/>
      <c r="N41" s="476">
        <f t="shared" si="4"/>
        <v>0</v>
      </c>
      <c r="O41" s="476">
        <f t="shared" si="5"/>
        <v>0</v>
      </c>
      <c r="P41" s="241"/>
    </row>
    <row r="42" spans="2:16">
      <c r="B42" s="160" t="str">
        <f t="shared" si="7"/>
        <v/>
      </c>
      <c r="C42" s="470">
        <f>IF(D11="","-",+C41+1)</f>
        <v>2042</v>
      </c>
      <c r="D42" s="481">
        <f>IF(F41+SUM(E$17:E41)=D$10,F41,D$10-SUM(E$17:E41))</f>
        <v>804864.79812116607</v>
      </c>
      <c r="E42" s="482">
        <f t="shared" si="16"/>
        <v>51611.071315789479</v>
      </c>
      <c r="F42" s="483">
        <f t="shared" si="17"/>
        <v>753253.72680537659</v>
      </c>
      <c r="G42" s="484">
        <f t="shared" si="18"/>
        <v>140221.41796397825</v>
      </c>
      <c r="H42" s="453">
        <f t="shared" si="19"/>
        <v>140221.41796397825</v>
      </c>
      <c r="I42" s="473">
        <f t="shared" si="0"/>
        <v>0</v>
      </c>
      <c r="J42" s="473"/>
      <c r="K42" s="485"/>
      <c r="L42" s="476">
        <f t="shared" si="2"/>
        <v>0</v>
      </c>
      <c r="M42" s="485"/>
      <c r="N42" s="476">
        <f t="shared" si="4"/>
        <v>0</v>
      </c>
      <c r="O42" s="476">
        <f t="shared" si="5"/>
        <v>0</v>
      </c>
      <c r="P42" s="241"/>
    </row>
    <row r="43" spans="2:16">
      <c r="B43" s="160" t="str">
        <f t="shared" si="7"/>
        <v/>
      </c>
      <c r="C43" s="470">
        <f>IF(D11="","-",+C42+1)</f>
        <v>2043</v>
      </c>
      <c r="D43" s="481">
        <f>IF(F42+SUM(E$17:E42)=D$10,F42,D$10-SUM(E$17:E42))</f>
        <v>753253.72680537659</v>
      </c>
      <c r="E43" s="482">
        <f t="shared" si="16"/>
        <v>51611.071315789479</v>
      </c>
      <c r="F43" s="483">
        <f t="shared" si="17"/>
        <v>701642.65548958711</v>
      </c>
      <c r="G43" s="484">
        <f t="shared" si="18"/>
        <v>134351.16503133677</v>
      </c>
      <c r="H43" s="453">
        <f t="shared" si="19"/>
        <v>134351.16503133677</v>
      </c>
      <c r="I43" s="473">
        <f t="shared" si="0"/>
        <v>0</v>
      </c>
      <c r="J43" s="473"/>
      <c r="K43" s="485"/>
      <c r="L43" s="476">
        <f t="shared" si="2"/>
        <v>0</v>
      </c>
      <c r="M43" s="485"/>
      <c r="N43" s="476">
        <f t="shared" si="4"/>
        <v>0</v>
      </c>
      <c r="O43" s="476">
        <f t="shared" si="5"/>
        <v>0</v>
      </c>
      <c r="P43" s="241"/>
    </row>
    <row r="44" spans="2:16">
      <c r="B44" s="160" t="str">
        <f t="shared" si="7"/>
        <v/>
      </c>
      <c r="C44" s="470">
        <f>IF(D11="","-",+C43+1)</f>
        <v>2044</v>
      </c>
      <c r="D44" s="481">
        <f>IF(F43+SUM(E$17:E43)=D$10,F43,D$10-SUM(E$17:E43))</f>
        <v>701642.65548958711</v>
      </c>
      <c r="E44" s="482">
        <f t="shared" si="16"/>
        <v>51611.071315789479</v>
      </c>
      <c r="F44" s="483">
        <f t="shared" si="17"/>
        <v>650031.58417379763</v>
      </c>
      <c r="G44" s="484">
        <f t="shared" si="18"/>
        <v>128480.91209869535</v>
      </c>
      <c r="H44" s="453">
        <f t="shared" si="19"/>
        <v>128480.91209869535</v>
      </c>
      <c r="I44" s="473">
        <f t="shared" si="0"/>
        <v>0</v>
      </c>
      <c r="J44" s="473"/>
      <c r="K44" s="485"/>
      <c r="L44" s="476">
        <f t="shared" si="2"/>
        <v>0</v>
      </c>
      <c r="M44" s="485"/>
      <c r="N44" s="476">
        <f t="shared" si="4"/>
        <v>0</v>
      </c>
      <c r="O44" s="476">
        <f t="shared" si="5"/>
        <v>0</v>
      </c>
      <c r="P44" s="241"/>
    </row>
    <row r="45" spans="2:16">
      <c r="B45" s="160" t="str">
        <f t="shared" si="7"/>
        <v/>
      </c>
      <c r="C45" s="470">
        <f>IF(D11="","-",+C44+1)</f>
        <v>2045</v>
      </c>
      <c r="D45" s="481">
        <f>IF(F44+SUM(E$17:E44)=D$10,F44,D$10-SUM(E$17:E44))</f>
        <v>650031.58417379763</v>
      </c>
      <c r="E45" s="482">
        <f t="shared" si="16"/>
        <v>51611.071315789479</v>
      </c>
      <c r="F45" s="483">
        <f t="shared" si="17"/>
        <v>598420.51285800815</v>
      </c>
      <c r="G45" s="484">
        <f t="shared" si="18"/>
        <v>122610.6591660539</v>
      </c>
      <c r="H45" s="453">
        <f t="shared" si="19"/>
        <v>122610.6591660539</v>
      </c>
      <c r="I45" s="473">
        <f t="shared" si="0"/>
        <v>0</v>
      </c>
      <c r="J45" s="473"/>
      <c r="K45" s="485"/>
      <c r="L45" s="476">
        <f t="shared" si="2"/>
        <v>0</v>
      </c>
      <c r="M45" s="485"/>
      <c r="N45" s="476">
        <f t="shared" si="4"/>
        <v>0</v>
      </c>
      <c r="O45" s="476">
        <f t="shared" si="5"/>
        <v>0</v>
      </c>
      <c r="P45" s="241"/>
    </row>
    <row r="46" spans="2:16">
      <c r="B46" s="160" t="str">
        <f t="shared" si="7"/>
        <v/>
      </c>
      <c r="C46" s="470">
        <f>IF(D11="","-",+C45+1)</f>
        <v>2046</v>
      </c>
      <c r="D46" s="481">
        <f>IF(F45+SUM(E$17:E45)=D$10,F45,D$10-SUM(E$17:E45))</f>
        <v>598420.51285800815</v>
      </c>
      <c r="E46" s="482">
        <f t="shared" si="16"/>
        <v>51611.071315789479</v>
      </c>
      <c r="F46" s="483">
        <f t="shared" si="17"/>
        <v>546809.44154221867</v>
      </c>
      <c r="G46" s="484">
        <f t="shared" si="18"/>
        <v>116740.40623341248</v>
      </c>
      <c r="H46" s="453">
        <f t="shared" si="19"/>
        <v>116740.40623341248</v>
      </c>
      <c r="I46" s="473">
        <f t="shared" si="0"/>
        <v>0</v>
      </c>
      <c r="J46" s="473"/>
      <c r="K46" s="485"/>
      <c r="L46" s="476">
        <f t="shared" si="2"/>
        <v>0</v>
      </c>
      <c r="M46" s="485"/>
      <c r="N46" s="476">
        <f t="shared" si="4"/>
        <v>0</v>
      </c>
      <c r="O46" s="476">
        <f t="shared" si="5"/>
        <v>0</v>
      </c>
      <c r="P46" s="241"/>
    </row>
    <row r="47" spans="2:16">
      <c r="B47" s="160" t="str">
        <f t="shared" si="7"/>
        <v/>
      </c>
      <c r="C47" s="470">
        <f>IF(D11="","-",+C46+1)</f>
        <v>2047</v>
      </c>
      <c r="D47" s="481">
        <f>IF(F46+SUM(E$17:E46)=D$10,F46,D$10-SUM(E$17:E46))</f>
        <v>546809.44154221867</v>
      </c>
      <c r="E47" s="482">
        <f t="shared" si="16"/>
        <v>51611.071315789479</v>
      </c>
      <c r="F47" s="483">
        <f t="shared" si="17"/>
        <v>495198.37022642919</v>
      </c>
      <c r="G47" s="484">
        <f t="shared" si="18"/>
        <v>110870.15330077102</v>
      </c>
      <c r="H47" s="453">
        <f t="shared" si="19"/>
        <v>110870.15330077102</v>
      </c>
      <c r="I47" s="473">
        <f t="shared" si="0"/>
        <v>0</v>
      </c>
      <c r="J47" s="473"/>
      <c r="K47" s="485"/>
      <c r="L47" s="476">
        <f t="shared" si="2"/>
        <v>0</v>
      </c>
      <c r="M47" s="485"/>
      <c r="N47" s="476">
        <f t="shared" si="4"/>
        <v>0</v>
      </c>
      <c r="O47" s="476">
        <f t="shared" si="5"/>
        <v>0</v>
      </c>
      <c r="P47" s="241"/>
    </row>
    <row r="48" spans="2:16">
      <c r="B48" s="160" t="str">
        <f t="shared" si="7"/>
        <v/>
      </c>
      <c r="C48" s="470">
        <f>IF(D11="","-",+C47+1)</f>
        <v>2048</v>
      </c>
      <c r="D48" s="481">
        <f>IF(F47+SUM(E$17:E47)=D$10,F47,D$10-SUM(E$17:E47))</f>
        <v>495198.37022642919</v>
      </c>
      <c r="E48" s="482">
        <f t="shared" si="16"/>
        <v>51611.071315789479</v>
      </c>
      <c r="F48" s="483">
        <f t="shared" si="17"/>
        <v>443587.29891063971</v>
      </c>
      <c r="G48" s="484">
        <f t="shared" si="18"/>
        <v>104999.90036812957</v>
      </c>
      <c r="H48" s="453">
        <f t="shared" si="19"/>
        <v>104999.90036812957</v>
      </c>
      <c r="I48" s="473">
        <f t="shared" si="0"/>
        <v>0</v>
      </c>
      <c r="J48" s="473"/>
      <c r="K48" s="485"/>
      <c r="L48" s="476">
        <f t="shared" si="2"/>
        <v>0</v>
      </c>
      <c r="M48" s="485"/>
      <c r="N48" s="476">
        <f t="shared" si="4"/>
        <v>0</v>
      </c>
      <c r="O48" s="476">
        <f t="shared" si="5"/>
        <v>0</v>
      </c>
      <c r="P48" s="241"/>
    </row>
    <row r="49" spans="2:16">
      <c r="B49" s="160" t="str">
        <f t="shared" si="7"/>
        <v/>
      </c>
      <c r="C49" s="470">
        <f>IF(D11="","-",+C48+1)</f>
        <v>2049</v>
      </c>
      <c r="D49" s="481">
        <f>IF(F48+SUM(E$17:E48)=D$10,F48,D$10-SUM(E$17:E48))</f>
        <v>443587.29891063971</v>
      </c>
      <c r="E49" s="482">
        <f t="shared" si="16"/>
        <v>51611.071315789479</v>
      </c>
      <c r="F49" s="483">
        <f t="shared" si="17"/>
        <v>391976.22759485024</v>
      </c>
      <c r="G49" s="484">
        <f t="shared" si="18"/>
        <v>99129.647435488136</v>
      </c>
      <c r="H49" s="453">
        <f t="shared" si="19"/>
        <v>99129.647435488136</v>
      </c>
      <c r="I49" s="473">
        <f t="shared" si="0"/>
        <v>0</v>
      </c>
      <c r="J49" s="473"/>
      <c r="K49" s="485"/>
      <c r="L49" s="476">
        <f t="shared" si="2"/>
        <v>0</v>
      </c>
      <c r="M49" s="485"/>
      <c r="N49" s="476">
        <f t="shared" si="4"/>
        <v>0</v>
      </c>
      <c r="O49" s="476">
        <f t="shared" si="5"/>
        <v>0</v>
      </c>
      <c r="P49" s="241"/>
    </row>
    <row r="50" spans="2:16">
      <c r="B50" s="160" t="str">
        <f t="shared" si="7"/>
        <v/>
      </c>
      <c r="C50" s="470">
        <f>IF(D11="","-",+C49+1)</f>
        <v>2050</v>
      </c>
      <c r="D50" s="481">
        <f>IF(F49+SUM(E$17:E49)=D$10,F49,D$10-SUM(E$17:E49))</f>
        <v>391976.22759485024</v>
      </c>
      <c r="E50" s="482">
        <f t="shared" si="16"/>
        <v>51611.071315789479</v>
      </c>
      <c r="F50" s="483">
        <f t="shared" si="17"/>
        <v>340365.15627906076</v>
      </c>
      <c r="G50" s="484">
        <f t="shared" si="18"/>
        <v>93259.394502846699</v>
      </c>
      <c r="H50" s="453">
        <f t="shared" si="19"/>
        <v>93259.394502846699</v>
      </c>
      <c r="I50" s="473">
        <f t="shared" si="0"/>
        <v>0</v>
      </c>
      <c r="J50" s="473"/>
      <c r="K50" s="485"/>
      <c r="L50" s="476">
        <f t="shared" si="2"/>
        <v>0</v>
      </c>
      <c r="M50" s="485"/>
      <c r="N50" s="476">
        <f t="shared" si="4"/>
        <v>0</v>
      </c>
      <c r="O50" s="476">
        <f t="shared" si="5"/>
        <v>0</v>
      </c>
      <c r="P50" s="241"/>
    </row>
    <row r="51" spans="2:16">
      <c r="B51" s="160" t="str">
        <f t="shared" si="7"/>
        <v/>
      </c>
      <c r="C51" s="470">
        <f>IF(D11="","-",+C50+1)</f>
        <v>2051</v>
      </c>
      <c r="D51" s="481">
        <f>IF(F50+SUM(E$17:E50)=D$10,F50,D$10-SUM(E$17:E50))</f>
        <v>340365.15627906076</v>
      </c>
      <c r="E51" s="482">
        <f t="shared" si="16"/>
        <v>51611.071315789479</v>
      </c>
      <c r="F51" s="483">
        <f t="shared" si="17"/>
        <v>288754.08496327128</v>
      </c>
      <c r="G51" s="484">
        <f t="shared" si="18"/>
        <v>87389.141570205247</v>
      </c>
      <c r="H51" s="453">
        <f t="shared" si="19"/>
        <v>87389.141570205247</v>
      </c>
      <c r="I51" s="473">
        <f t="shared" si="0"/>
        <v>0</v>
      </c>
      <c r="J51" s="473"/>
      <c r="K51" s="485"/>
      <c r="L51" s="476">
        <f t="shared" si="2"/>
        <v>0</v>
      </c>
      <c r="M51" s="485"/>
      <c r="N51" s="476">
        <f t="shared" si="4"/>
        <v>0</v>
      </c>
      <c r="O51" s="476">
        <f t="shared" si="5"/>
        <v>0</v>
      </c>
      <c r="P51" s="241"/>
    </row>
    <row r="52" spans="2:16">
      <c r="B52" s="160" t="str">
        <f t="shared" si="7"/>
        <v/>
      </c>
      <c r="C52" s="470">
        <f>IF(D11="","-",+C51+1)</f>
        <v>2052</v>
      </c>
      <c r="D52" s="481">
        <f>IF(F51+SUM(E$17:E51)=D$10,F51,D$10-SUM(E$17:E51))</f>
        <v>288754.08496327128</v>
      </c>
      <c r="E52" s="482">
        <f t="shared" si="16"/>
        <v>51611.071315789479</v>
      </c>
      <c r="F52" s="483">
        <f t="shared" si="17"/>
        <v>237143.0136474818</v>
      </c>
      <c r="G52" s="484">
        <f t="shared" si="18"/>
        <v>81518.88863756381</v>
      </c>
      <c r="H52" s="453">
        <f t="shared" si="19"/>
        <v>81518.88863756381</v>
      </c>
      <c r="I52" s="473">
        <f t="shared" si="0"/>
        <v>0</v>
      </c>
      <c r="J52" s="473"/>
      <c r="K52" s="485"/>
      <c r="L52" s="476">
        <f t="shared" si="2"/>
        <v>0</v>
      </c>
      <c r="M52" s="485"/>
      <c r="N52" s="476">
        <f t="shared" si="4"/>
        <v>0</v>
      </c>
      <c r="O52" s="476">
        <f t="shared" si="5"/>
        <v>0</v>
      </c>
      <c r="P52" s="241"/>
    </row>
    <row r="53" spans="2:16">
      <c r="B53" s="160" t="str">
        <f t="shared" si="7"/>
        <v/>
      </c>
      <c r="C53" s="470">
        <f>IF(D11="","-",+C52+1)</f>
        <v>2053</v>
      </c>
      <c r="D53" s="481">
        <f>IF(F52+SUM(E$17:E52)=D$10,F52,D$10-SUM(E$17:E52))</f>
        <v>237143.0136474818</v>
      </c>
      <c r="E53" s="482">
        <f t="shared" si="16"/>
        <v>51611.071315789479</v>
      </c>
      <c r="F53" s="483">
        <f t="shared" si="17"/>
        <v>185531.94233169232</v>
      </c>
      <c r="G53" s="484">
        <f t="shared" si="18"/>
        <v>75648.635704922373</v>
      </c>
      <c r="H53" s="453">
        <f t="shared" si="19"/>
        <v>75648.635704922373</v>
      </c>
      <c r="I53" s="473">
        <f t="shared" si="0"/>
        <v>0</v>
      </c>
      <c r="J53" s="473"/>
      <c r="K53" s="485"/>
      <c r="L53" s="476">
        <f t="shared" si="2"/>
        <v>0</v>
      </c>
      <c r="M53" s="485"/>
      <c r="N53" s="476">
        <f t="shared" si="4"/>
        <v>0</v>
      </c>
      <c r="O53" s="476">
        <f t="shared" si="5"/>
        <v>0</v>
      </c>
      <c r="P53" s="241"/>
    </row>
    <row r="54" spans="2:16">
      <c r="B54" s="160" t="str">
        <f t="shared" si="7"/>
        <v/>
      </c>
      <c r="C54" s="470">
        <f>IF(D11="","-",+C53+1)</f>
        <v>2054</v>
      </c>
      <c r="D54" s="481">
        <f>IF(F53+SUM(E$17:E53)=D$10,F53,D$10-SUM(E$17:E53))</f>
        <v>185531.94233169232</v>
      </c>
      <c r="E54" s="482">
        <f t="shared" si="16"/>
        <v>51611.071315789479</v>
      </c>
      <c r="F54" s="483">
        <f t="shared" si="17"/>
        <v>133920.87101590284</v>
      </c>
      <c r="G54" s="484">
        <f t="shared" si="18"/>
        <v>69778.382772280936</v>
      </c>
      <c r="H54" s="453">
        <f t="shared" si="19"/>
        <v>69778.382772280936</v>
      </c>
      <c r="I54" s="473">
        <f t="shared" si="0"/>
        <v>0</v>
      </c>
      <c r="J54" s="473"/>
      <c r="K54" s="485"/>
      <c r="L54" s="476">
        <f t="shared" si="2"/>
        <v>0</v>
      </c>
      <c r="M54" s="485"/>
      <c r="N54" s="476">
        <f t="shared" si="4"/>
        <v>0</v>
      </c>
      <c r="O54" s="476">
        <f t="shared" si="5"/>
        <v>0</v>
      </c>
      <c r="P54" s="241"/>
    </row>
    <row r="55" spans="2:16">
      <c r="B55" s="160" t="str">
        <f t="shared" si="7"/>
        <v/>
      </c>
      <c r="C55" s="470">
        <f>IF(D11="","-",+C54+1)</f>
        <v>2055</v>
      </c>
      <c r="D55" s="481">
        <f>IF(F54+SUM(E$17:E54)=D$10,F54,D$10-SUM(E$17:E54))</f>
        <v>133920.87101590284</v>
      </c>
      <c r="E55" s="482">
        <f t="shared" si="16"/>
        <v>51611.071315789479</v>
      </c>
      <c r="F55" s="483">
        <f t="shared" si="17"/>
        <v>82309.799700113363</v>
      </c>
      <c r="G55" s="484">
        <f t="shared" si="18"/>
        <v>63908.129839639492</v>
      </c>
      <c r="H55" s="453">
        <f t="shared" si="19"/>
        <v>63908.129839639492</v>
      </c>
      <c r="I55" s="473">
        <f t="shared" si="0"/>
        <v>0</v>
      </c>
      <c r="J55" s="473"/>
      <c r="K55" s="485"/>
      <c r="L55" s="476">
        <f t="shared" si="2"/>
        <v>0</v>
      </c>
      <c r="M55" s="485"/>
      <c r="N55" s="476">
        <f t="shared" si="4"/>
        <v>0</v>
      </c>
      <c r="O55" s="476">
        <f t="shared" si="5"/>
        <v>0</v>
      </c>
      <c r="P55" s="241"/>
    </row>
    <row r="56" spans="2:16">
      <c r="B56" s="160" t="str">
        <f t="shared" si="7"/>
        <v/>
      </c>
      <c r="C56" s="470">
        <f>IF(D11="","-",+C55+1)</f>
        <v>2056</v>
      </c>
      <c r="D56" s="481">
        <f>IF(F55+SUM(E$17:E55)=D$10,F55,D$10-SUM(E$17:E55))</f>
        <v>82309.799700113363</v>
      </c>
      <c r="E56" s="482">
        <f t="shared" si="16"/>
        <v>51611.071315789479</v>
      </c>
      <c r="F56" s="483">
        <f t="shared" si="17"/>
        <v>30698.728384323884</v>
      </c>
      <c r="G56" s="484">
        <f t="shared" si="18"/>
        <v>58037.876906998048</v>
      </c>
      <c r="H56" s="453">
        <f t="shared" si="19"/>
        <v>58037.876906998048</v>
      </c>
      <c r="I56" s="473">
        <f t="shared" si="0"/>
        <v>0</v>
      </c>
      <c r="J56" s="473"/>
      <c r="K56" s="485"/>
      <c r="L56" s="476">
        <f t="shared" si="2"/>
        <v>0</v>
      </c>
      <c r="M56" s="485"/>
      <c r="N56" s="476">
        <f t="shared" si="4"/>
        <v>0</v>
      </c>
      <c r="O56" s="476">
        <f t="shared" si="5"/>
        <v>0</v>
      </c>
      <c r="P56" s="241"/>
    </row>
    <row r="57" spans="2:16">
      <c r="B57" s="160" t="str">
        <f t="shared" si="7"/>
        <v/>
      </c>
      <c r="C57" s="470">
        <f>IF(D11="","-",+C56+1)</f>
        <v>2057</v>
      </c>
      <c r="D57" s="481">
        <f>IF(F56+SUM(E$17:E56)=D$10,F56,D$10-SUM(E$17:E56))</f>
        <v>30698.728384323884</v>
      </c>
      <c r="E57" s="482">
        <f t="shared" si="16"/>
        <v>30698.728384323884</v>
      </c>
      <c r="F57" s="483">
        <f t="shared" si="17"/>
        <v>0</v>
      </c>
      <c r="G57" s="484">
        <f t="shared" si="18"/>
        <v>32444.567946767809</v>
      </c>
      <c r="H57" s="453">
        <f t="shared" si="19"/>
        <v>32444.567946767809</v>
      </c>
      <c r="I57" s="473">
        <f t="shared" si="0"/>
        <v>0</v>
      </c>
      <c r="J57" s="473"/>
      <c r="K57" s="485"/>
      <c r="L57" s="476">
        <f t="shared" si="2"/>
        <v>0</v>
      </c>
      <c r="M57" s="485"/>
      <c r="N57" s="476">
        <f t="shared" si="4"/>
        <v>0</v>
      </c>
      <c r="O57" s="476">
        <f t="shared" si="5"/>
        <v>0</v>
      </c>
      <c r="P57" s="241"/>
    </row>
    <row r="58" spans="2:16">
      <c r="B58" s="160" t="str">
        <f t="shared" si="7"/>
        <v/>
      </c>
      <c r="C58" s="470">
        <f>IF(D11="","-",+C57+1)</f>
        <v>2058</v>
      </c>
      <c r="D58" s="481">
        <f>IF(F57+SUM(E$17:E57)=D$10,F57,D$10-SUM(E$17:E57))</f>
        <v>0</v>
      </c>
      <c r="E58" s="482">
        <f t="shared" si="16"/>
        <v>0</v>
      </c>
      <c r="F58" s="483">
        <f t="shared" si="17"/>
        <v>0</v>
      </c>
      <c r="G58" s="484">
        <f t="shared" si="18"/>
        <v>0</v>
      </c>
      <c r="H58" s="453">
        <f t="shared" si="19"/>
        <v>0</v>
      </c>
      <c r="I58" s="473">
        <f t="shared" si="0"/>
        <v>0</v>
      </c>
      <c r="J58" s="473"/>
      <c r="K58" s="485"/>
      <c r="L58" s="476">
        <f t="shared" si="2"/>
        <v>0</v>
      </c>
      <c r="M58" s="485"/>
      <c r="N58" s="476">
        <f t="shared" si="4"/>
        <v>0</v>
      </c>
      <c r="O58" s="476">
        <f t="shared" si="5"/>
        <v>0</v>
      </c>
      <c r="P58" s="241"/>
    </row>
    <row r="59" spans="2:16">
      <c r="B59" s="160" t="str">
        <f t="shared" si="7"/>
        <v/>
      </c>
      <c r="C59" s="470">
        <f>IF(D11="","-",+C58+1)</f>
        <v>2059</v>
      </c>
      <c r="D59" s="481">
        <f>IF(F58+SUM(E$17:E58)=D$10,F58,D$10-SUM(E$17:E58))</f>
        <v>0</v>
      </c>
      <c r="E59" s="482">
        <f t="shared" si="16"/>
        <v>0</v>
      </c>
      <c r="F59" s="483">
        <f t="shared" si="17"/>
        <v>0</v>
      </c>
      <c r="G59" s="484">
        <f t="shared" si="18"/>
        <v>0</v>
      </c>
      <c r="H59" s="453">
        <f t="shared" si="19"/>
        <v>0</v>
      </c>
      <c r="I59" s="473">
        <f t="shared" si="0"/>
        <v>0</v>
      </c>
      <c r="J59" s="473"/>
      <c r="K59" s="485"/>
      <c r="L59" s="476">
        <f t="shared" si="2"/>
        <v>0</v>
      </c>
      <c r="M59" s="485"/>
      <c r="N59" s="476">
        <f t="shared" si="4"/>
        <v>0</v>
      </c>
      <c r="O59" s="476">
        <f t="shared" si="5"/>
        <v>0</v>
      </c>
      <c r="P59" s="241"/>
    </row>
    <row r="60" spans="2:16">
      <c r="B60" s="160" t="str">
        <f t="shared" si="7"/>
        <v/>
      </c>
      <c r="C60" s="470">
        <f>IF(D11="","-",+C59+1)</f>
        <v>2060</v>
      </c>
      <c r="D60" s="481">
        <f>IF(F59+SUM(E$17:E59)=D$10,F59,D$10-SUM(E$17:E59))</f>
        <v>0</v>
      </c>
      <c r="E60" s="482">
        <f t="shared" si="16"/>
        <v>0</v>
      </c>
      <c r="F60" s="483">
        <f t="shared" si="17"/>
        <v>0</v>
      </c>
      <c r="G60" s="484">
        <f t="shared" si="18"/>
        <v>0</v>
      </c>
      <c r="H60" s="453">
        <f t="shared" si="19"/>
        <v>0</v>
      </c>
      <c r="I60" s="473">
        <f t="shared" si="0"/>
        <v>0</v>
      </c>
      <c r="J60" s="473"/>
      <c r="K60" s="485"/>
      <c r="L60" s="476">
        <f t="shared" si="2"/>
        <v>0</v>
      </c>
      <c r="M60" s="485"/>
      <c r="N60" s="476">
        <f t="shared" si="4"/>
        <v>0</v>
      </c>
      <c r="O60" s="476">
        <f t="shared" si="5"/>
        <v>0</v>
      </c>
      <c r="P60" s="241"/>
    </row>
    <row r="61" spans="2:16">
      <c r="B61" s="160" t="str">
        <f t="shared" si="7"/>
        <v/>
      </c>
      <c r="C61" s="470">
        <f>IF(D11="","-",+C60+1)</f>
        <v>2061</v>
      </c>
      <c r="D61" s="481">
        <f>IF(F60+SUM(E$17:E60)=D$10,F60,D$10-SUM(E$17:E60))</f>
        <v>0</v>
      </c>
      <c r="E61" s="482">
        <f t="shared" si="16"/>
        <v>0</v>
      </c>
      <c r="F61" s="483">
        <f t="shared" si="17"/>
        <v>0</v>
      </c>
      <c r="G61" s="484">
        <f t="shared" si="18"/>
        <v>0</v>
      </c>
      <c r="H61" s="453">
        <f t="shared" si="19"/>
        <v>0</v>
      </c>
      <c r="I61" s="473">
        <f t="shared" si="0"/>
        <v>0</v>
      </c>
      <c r="J61" s="473"/>
      <c r="K61" s="485"/>
      <c r="L61" s="476">
        <f t="shared" si="2"/>
        <v>0</v>
      </c>
      <c r="M61" s="485"/>
      <c r="N61" s="476">
        <f t="shared" si="4"/>
        <v>0</v>
      </c>
      <c r="O61" s="476">
        <f t="shared" si="5"/>
        <v>0</v>
      </c>
      <c r="P61" s="241"/>
    </row>
    <row r="62" spans="2:16">
      <c r="B62" s="160" t="str">
        <f t="shared" si="7"/>
        <v/>
      </c>
      <c r="C62" s="470">
        <f>IF(D11="","-",+C61+1)</f>
        <v>2062</v>
      </c>
      <c r="D62" s="481">
        <f>IF(F61+SUM(E$17:E61)=D$10,F61,D$10-SUM(E$17:E61))</f>
        <v>0</v>
      </c>
      <c r="E62" s="482">
        <f t="shared" si="16"/>
        <v>0</v>
      </c>
      <c r="F62" s="483">
        <f t="shared" si="17"/>
        <v>0</v>
      </c>
      <c r="G62" s="484">
        <f t="shared" si="18"/>
        <v>0</v>
      </c>
      <c r="H62" s="453">
        <f t="shared" si="19"/>
        <v>0</v>
      </c>
      <c r="I62" s="473">
        <f t="shared" si="0"/>
        <v>0</v>
      </c>
      <c r="J62" s="473"/>
      <c r="K62" s="485"/>
      <c r="L62" s="476">
        <f t="shared" si="2"/>
        <v>0</v>
      </c>
      <c r="M62" s="485"/>
      <c r="N62" s="476">
        <f t="shared" si="4"/>
        <v>0</v>
      </c>
      <c r="O62" s="476">
        <f t="shared" si="5"/>
        <v>0</v>
      </c>
      <c r="P62" s="241"/>
    </row>
    <row r="63" spans="2:16">
      <c r="B63" s="160" t="str">
        <f t="shared" si="7"/>
        <v/>
      </c>
      <c r="C63" s="470">
        <f>IF(D11="","-",+C62+1)</f>
        <v>2063</v>
      </c>
      <c r="D63" s="481">
        <f>IF(F62+SUM(E$17:E62)=D$10,F62,D$10-SUM(E$17:E62))</f>
        <v>0</v>
      </c>
      <c r="E63" s="482">
        <f t="shared" si="16"/>
        <v>0</v>
      </c>
      <c r="F63" s="483">
        <f t="shared" si="17"/>
        <v>0</v>
      </c>
      <c r="G63" s="484">
        <f t="shared" si="18"/>
        <v>0</v>
      </c>
      <c r="H63" s="453">
        <f t="shared" si="19"/>
        <v>0</v>
      </c>
      <c r="I63" s="473">
        <f t="shared" si="0"/>
        <v>0</v>
      </c>
      <c r="J63" s="473"/>
      <c r="K63" s="485"/>
      <c r="L63" s="476">
        <f t="shared" si="2"/>
        <v>0</v>
      </c>
      <c r="M63" s="485"/>
      <c r="N63" s="476">
        <f t="shared" si="4"/>
        <v>0</v>
      </c>
      <c r="O63" s="476">
        <f t="shared" si="5"/>
        <v>0</v>
      </c>
      <c r="P63" s="241"/>
    </row>
    <row r="64" spans="2:16">
      <c r="B64" s="160" t="str">
        <f t="shared" si="7"/>
        <v/>
      </c>
      <c r="C64" s="470">
        <f>IF(D11="","-",+C63+1)</f>
        <v>2064</v>
      </c>
      <c r="D64" s="481">
        <f>IF(F63+SUM(E$17:E63)=D$10,F63,D$10-SUM(E$17:E63))</f>
        <v>0</v>
      </c>
      <c r="E64" s="482">
        <f t="shared" si="16"/>
        <v>0</v>
      </c>
      <c r="F64" s="483">
        <f t="shared" si="17"/>
        <v>0</v>
      </c>
      <c r="G64" s="484">
        <f t="shared" si="18"/>
        <v>0</v>
      </c>
      <c r="H64" s="453">
        <f t="shared" si="19"/>
        <v>0</v>
      </c>
      <c r="I64" s="473">
        <f t="shared" si="0"/>
        <v>0</v>
      </c>
      <c r="J64" s="473"/>
      <c r="K64" s="485"/>
      <c r="L64" s="476">
        <f t="shared" si="2"/>
        <v>0</v>
      </c>
      <c r="M64" s="485"/>
      <c r="N64" s="476">
        <f t="shared" si="4"/>
        <v>0</v>
      </c>
      <c r="O64" s="476">
        <f t="shared" si="5"/>
        <v>0</v>
      </c>
      <c r="P64" s="241"/>
    </row>
    <row r="65" spans="2:16">
      <c r="B65" s="160" t="str">
        <f t="shared" si="7"/>
        <v/>
      </c>
      <c r="C65" s="470">
        <f>IF(D11="","-",+C64+1)</f>
        <v>2065</v>
      </c>
      <c r="D65" s="481">
        <f>IF(F64+SUM(E$17:E64)=D$10,F64,D$10-SUM(E$17:E64))</f>
        <v>0</v>
      </c>
      <c r="E65" s="482">
        <f t="shared" si="16"/>
        <v>0</v>
      </c>
      <c r="F65" s="483">
        <f t="shared" si="17"/>
        <v>0</v>
      </c>
      <c r="G65" s="484">
        <f t="shared" si="18"/>
        <v>0</v>
      </c>
      <c r="H65" s="453">
        <f t="shared" si="19"/>
        <v>0</v>
      </c>
      <c r="I65" s="473">
        <f t="shared" si="0"/>
        <v>0</v>
      </c>
      <c r="J65" s="473"/>
      <c r="K65" s="485"/>
      <c r="L65" s="476">
        <f t="shared" si="2"/>
        <v>0</v>
      </c>
      <c r="M65" s="485"/>
      <c r="N65" s="476">
        <f t="shared" si="4"/>
        <v>0</v>
      </c>
      <c r="O65" s="476">
        <f t="shared" si="5"/>
        <v>0</v>
      </c>
      <c r="P65" s="241"/>
    </row>
    <row r="66" spans="2:16">
      <c r="B66" s="160" t="str">
        <f t="shared" si="7"/>
        <v/>
      </c>
      <c r="C66" s="470">
        <f>IF(D11="","-",+C65+1)</f>
        <v>2066</v>
      </c>
      <c r="D66" s="481">
        <f>IF(F65+SUM(E$17:E65)=D$10,F65,D$10-SUM(E$17:E65))</f>
        <v>0</v>
      </c>
      <c r="E66" s="482">
        <f t="shared" si="16"/>
        <v>0</v>
      </c>
      <c r="F66" s="483">
        <f t="shared" si="17"/>
        <v>0</v>
      </c>
      <c r="G66" s="484">
        <f t="shared" si="18"/>
        <v>0</v>
      </c>
      <c r="H66" s="453">
        <f t="shared" si="19"/>
        <v>0</v>
      </c>
      <c r="I66" s="473">
        <f t="shared" si="0"/>
        <v>0</v>
      </c>
      <c r="J66" s="473"/>
      <c r="K66" s="485"/>
      <c r="L66" s="476">
        <f t="shared" si="2"/>
        <v>0</v>
      </c>
      <c r="M66" s="485"/>
      <c r="N66" s="476">
        <f t="shared" si="4"/>
        <v>0</v>
      </c>
      <c r="O66" s="476">
        <f t="shared" si="5"/>
        <v>0</v>
      </c>
      <c r="P66" s="241"/>
    </row>
    <row r="67" spans="2:16">
      <c r="B67" s="160" t="str">
        <f t="shared" si="7"/>
        <v/>
      </c>
      <c r="C67" s="470">
        <f>IF(D11="","-",+C66+1)</f>
        <v>2067</v>
      </c>
      <c r="D67" s="481">
        <f>IF(F66+SUM(E$17:E66)=D$10,F66,D$10-SUM(E$17:E66))</f>
        <v>0</v>
      </c>
      <c r="E67" s="482">
        <f t="shared" si="16"/>
        <v>0</v>
      </c>
      <c r="F67" s="483">
        <f t="shared" si="17"/>
        <v>0</v>
      </c>
      <c r="G67" s="484">
        <f t="shared" si="18"/>
        <v>0</v>
      </c>
      <c r="H67" s="453">
        <f t="shared" si="19"/>
        <v>0</v>
      </c>
      <c r="I67" s="473">
        <f t="shared" si="0"/>
        <v>0</v>
      </c>
      <c r="J67" s="473"/>
      <c r="K67" s="485"/>
      <c r="L67" s="476">
        <f t="shared" si="2"/>
        <v>0</v>
      </c>
      <c r="M67" s="485"/>
      <c r="N67" s="476">
        <f t="shared" si="4"/>
        <v>0</v>
      </c>
      <c r="O67" s="476">
        <f t="shared" si="5"/>
        <v>0</v>
      </c>
      <c r="P67" s="241"/>
    </row>
    <row r="68" spans="2:16">
      <c r="B68" s="160" t="str">
        <f t="shared" si="7"/>
        <v/>
      </c>
      <c r="C68" s="470">
        <f>IF(D11="","-",+C67+1)</f>
        <v>2068</v>
      </c>
      <c r="D68" s="481">
        <f>IF(F67+SUM(E$17:E67)=D$10,F67,D$10-SUM(E$17:E67))</f>
        <v>0</v>
      </c>
      <c r="E68" s="482">
        <f t="shared" si="16"/>
        <v>0</v>
      </c>
      <c r="F68" s="483">
        <f t="shared" si="17"/>
        <v>0</v>
      </c>
      <c r="G68" s="484">
        <f t="shared" si="18"/>
        <v>0</v>
      </c>
      <c r="H68" s="453">
        <f t="shared" si="19"/>
        <v>0</v>
      </c>
      <c r="I68" s="473">
        <f t="shared" si="0"/>
        <v>0</v>
      </c>
      <c r="J68" s="473"/>
      <c r="K68" s="485"/>
      <c r="L68" s="476">
        <f t="shared" si="2"/>
        <v>0</v>
      </c>
      <c r="M68" s="485"/>
      <c r="N68" s="476">
        <f t="shared" si="4"/>
        <v>0</v>
      </c>
      <c r="O68" s="476">
        <f t="shared" si="5"/>
        <v>0</v>
      </c>
      <c r="P68" s="241"/>
    </row>
    <row r="69" spans="2:16">
      <c r="B69" s="160" t="str">
        <f t="shared" si="7"/>
        <v/>
      </c>
      <c r="C69" s="470">
        <f>IF(D11="","-",+C68+1)</f>
        <v>2069</v>
      </c>
      <c r="D69" s="481">
        <f>IF(F68+SUM(E$17:E68)=D$10,F68,D$10-SUM(E$17:E68))</f>
        <v>0</v>
      </c>
      <c r="E69" s="482">
        <f t="shared" si="16"/>
        <v>0</v>
      </c>
      <c r="F69" s="483">
        <f t="shared" si="17"/>
        <v>0</v>
      </c>
      <c r="G69" s="484">
        <f t="shared" si="18"/>
        <v>0</v>
      </c>
      <c r="H69" s="453">
        <f t="shared" si="19"/>
        <v>0</v>
      </c>
      <c r="I69" s="473">
        <f t="shared" si="0"/>
        <v>0</v>
      </c>
      <c r="J69" s="473"/>
      <c r="K69" s="485"/>
      <c r="L69" s="476">
        <f t="shared" si="2"/>
        <v>0</v>
      </c>
      <c r="M69" s="485"/>
      <c r="N69" s="476">
        <f t="shared" si="4"/>
        <v>0</v>
      </c>
      <c r="O69" s="476">
        <f t="shared" si="5"/>
        <v>0</v>
      </c>
      <c r="P69" s="241"/>
    </row>
    <row r="70" spans="2:16">
      <c r="B70" s="160" t="str">
        <f t="shared" si="7"/>
        <v/>
      </c>
      <c r="C70" s="470">
        <f>IF(D11="","-",+C69+1)</f>
        <v>2070</v>
      </c>
      <c r="D70" s="481">
        <f>IF(F69+SUM(E$17:E69)=D$10,F69,D$10-SUM(E$17:E69))</f>
        <v>0</v>
      </c>
      <c r="E70" s="482">
        <f t="shared" si="16"/>
        <v>0</v>
      </c>
      <c r="F70" s="483">
        <f t="shared" si="17"/>
        <v>0</v>
      </c>
      <c r="G70" s="484">
        <f t="shared" si="18"/>
        <v>0</v>
      </c>
      <c r="H70" s="453">
        <f t="shared" si="19"/>
        <v>0</v>
      </c>
      <c r="I70" s="473">
        <f t="shared" si="0"/>
        <v>0</v>
      </c>
      <c r="J70" s="473"/>
      <c r="K70" s="485"/>
      <c r="L70" s="476">
        <f t="shared" si="2"/>
        <v>0</v>
      </c>
      <c r="M70" s="485"/>
      <c r="N70" s="476">
        <f t="shared" si="4"/>
        <v>0</v>
      </c>
      <c r="O70" s="476">
        <f t="shared" si="5"/>
        <v>0</v>
      </c>
      <c r="P70" s="241"/>
    </row>
    <row r="71" spans="2:16">
      <c r="B71" s="160" t="str">
        <f t="shared" si="7"/>
        <v/>
      </c>
      <c r="C71" s="470">
        <f>IF(D11="","-",+C70+1)</f>
        <v>2071</v>
      </c>
      <c r="D71" s="481">
        <f>IF(F70+SUM(E$17:E70)=D$10,F70,D$10-SUM(E$17:E70))</f>
        <v>0</v>
      </c>
      <c r="E71" s="482">
        <f t="shared" si="16"/>
        <v>0</v>
      </c>
      <c r="F71" s="483">
        <f t="shared" si="17"/>
        <v>0</v>
      </c>
      <c r="G71" s="484">
        <f t="shared" si="18"/>
        <v>0</v>
      </c>
      <c r="H71" s="453">
        <f t="shared" si="19"/>
        <v>0</v>
      </c>
      <c r="I71" s="473">
        <f t="shared" si="0"/>
        <v>0</v>
      </c>
      <c r="J71" s="473"/>
      <c r="K71" s="485"/>
      <c r="L71" s="476">
        <f t="shared" si="2"/>
        <v>0</v>
      </c>
      <c r="M71" s="485"/>
      <c r="N71" s="476">
        <f t="shared" si="4"/>
        <v>0</v>
      </c>
      <c r="O71" s="476">
        <f t="shared" si="5"/>
        <v>0</v>
      </c>
      <c r="P71" s="241"/>
    </row>
    <row r="72" spans="2:16" ht="13.5" thickBot="1">
      <c r="B72" s="160" t="str">
        <f t="shared" si="7"/>
        <v/>
      </c>
      <c r="C72" s="487">
        <f>IF(D11="","-",+C71+1)</f>
        <v>2072</v>
      </c>
      <c r="D72" s="610">
        <f>IF(F71+SUM(E$17:E71)=D$10,F71,D$10-SUM(E$17:E71))</f>
        <v>0</v>
      </c>
      <c r="E72" s="489">
        <f t="shared" si="16"/>
        <v>0</v>
      </c>
      <c r="F72" s="488">
        <f t="shared" si="17"/>
        <v>0</v>
      </c>
      <c r="G72" s="542">
        <f t="shared" si="18"/>
        <v>0</v>
      </c>
      <c r="H72" s="433">
        <f t="shared" si="19"/>
        <v>0</v>
      </c>
      <c r="I72" s="491">
        <f t="shared" si="0"/>
        <v>0</v>
      </c>
      <c r="J72" s="473"/>
      <c r="K72" s="492"/>
      <c r="L72" s="493">
        <f t="shared" si="2"/>
        <v>0</v>
      </c>
      <c r="M72" s="492"/>
      <c r="N72" s="493">
        <f t="shared" si="4"/>
        <v>0</v>
      </c>
      <c r="O72" s="493">
        <f t="shared" si="5"/>
        <v>0</v>
      </c>
      <c r="P72" s="241"/>
    </row>
    <row r="73" spans="2:16">
      <c r="C73" s="345" t="s">
        <v>77</v>
      </c>
      <c r="D73" s="346"/>
      <c r="E73" s="346">
        <f>SUM(E17:E72)</f>
        <v>1961220.7100000004</v>
      </c>
      <c r="F73" s="346"/>
      <c r="G73" s="346">
        <f>SUM(G17:G72)</f>
        <v>6303740.5933593865</v>
      </c>
      <c r="H73" s="346">
        <f>SUM(H17:H72)</f>
        <v>6303740.5933593865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20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241564.55964853393</v>
      </c>
      <c r="N87" s="506">
        <f>IF(J92&lt;D11,0,VLOOKUP(J92,C17:O72,11))</f>
        <v>241564.55964853393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248043.4948332576</v>
      </c>
      <c r="N88" s="510">
        <f>IF(J92&lt;D11,0,VLOOKUP(J92,C99:P154,7))</f>
        <v>248043.4948332576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Sayre 138 kV Capacitor Bank Addition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6478.9351847236685</v>
      </c>
      <c r="N89" s="515">
        <f>+N88-N87</f>
        <v>6478.9351847236685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TP2015202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524">
        <v>1961221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v>2018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v>12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47835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2018</v>
      </c>
      <c r="D99" s="582">
        <v>0</v>
      </c>
      <c r="E99" s="606">
        <v>0</v>
      </c>
      <c r="F99" s="582">
        <v>1140000</v>
      </c>
      <c r="G99" s="606">
        <v>570000</v>
      </c>
      <c r="H99" s="585">
        <v>72305.937255510624</v>
      </c>
      <c r="I99" s="605">
        <v>72305.937255510624</v>
      </c>
      <c r="J99" s="476">
        <f t="shared" ref="J99:J130" si="20">+I99-H99</f>
        <v>0</v>
      </c>
      <c r="K99" s="476"/>
      <c r="L99" s="475">
        <f>+H99</f>
        <v>72305.937255510624</v>
      </c>
      <c r="M99" s="475">
        <f t="shared" ref="M99:M130" si="21">IF(L99&lt;&gt;0,+H99-L99,0)</f>
        <v>0</v>
      </c>
      <c r="N99" s="475">
        <f>+I99</f>
        <v>72305.937255510624</v>
      </c>
      <c r="O99" s="475">
        <f t="shared" ref="O99:O130" si="22">IF(N99&lt;&gt;0,+I99-N99,0)</f>
        <v>0</v>
      </c>
      <c r="P99" s="475">
        <f t="shared" ref="P99:P130" si="23">+O99-M99</f>
        <v>0</v>
      </c>
    </row>
    <row r="100" spans="1:16">
      <c r="B100" s="160" t="str">
        <f>IF(D100=F99,"","IU")</f>
        <v>IU</v>
      </c>
      <c r="C100" s="470">
        <f>IF(D93="","-",+C99+1)</f>
        <v>2019</v>
      </c>
      <c r="D100" s="576">
        <v>1961221</v>
      </c>
      <c r="E100" s="577">
        <v>47835</v>
      </c>
      <c r="F100" s="576">
        <v>1913386</v>
      </c>
      <c r="G100" s="577">
        <v>1937303.5</v>
      </c>
      <c r="H100" s="600">
        <v>247598.16362509641</v>
      </c>
      <c r="I100" s="576">
        <v>247598.16362509641</v>
      </c>
      <c r="J100" s="476">
        <f t="shared" si="20"/>
        <v>0</v>
      </c>
      <c r="K100" s="476"/>
      <c r="L100" s="474">
        <f>H100</f>
        <v>247598.16362509641</v>
      </c>
      <c r="M100" s="347">
        <f>IF(L100&lt;&gt;0,+H100-L100,0)</f>
        <v>0</v>
      </c>
      <c r="N100" s="474">
        <f>I100</f>
        <v>247598.16362509641</v>
      </c>
      <c r="O100" s="473">
        <f>IF(N100&lt;&gt;0,+I100-N100,0)</f>
        <v>0</v>
      </c>
      <c r="P100" s="476">
        <f>+O100-M100</f>
        <v>0</v>
      </c>
    </row>
    <row r="101" spans="1:16">
      <c r="B101" s="160" t="str">
        <f t="shared" ref="B101:B154" si="24">IF(D101=F100,"","IU")</f>
        <v/>
      </c>
      <c r="C101" s="470">
        <f>IF(D93="","-",+C100+1)</f>
        <v>2020</v>
      </c>
      <c r="D101" s="576">
        <v>1913386</v>
      </c>
      <c r="E101" s="577">
        <v>45610</v>
      </c>
      <c r="F101" s="576">
        <v>1867776</v>
      </c>
      <c r="G101" s="577">
        <v>1890581</v>
      </c>
      <c r="H101" s="600">
        <v>263588.79157611891</v>
      </c>
      <c r="I101" s="576">
        <v>263588.79157611891</v>
      </c>
      <c r="J101" s="476">
        <f t="shared" si="20"/>
        <v>0</v>
      </c>
      <c r="K101" s="476"/>
      <c r="L101" s="474">
        <f>H101</f>
        <v>263588.79157611891</v>
      </c>
      <c r="M101" s="347">
        <f>IF(L101&lt;&gt;0,+H101-L101,0)</f>
        <v>0</v>
      </c>
      <c r="N101" s="474">
        <f>I101</f>
        <v>263588.79157611891</v>
      </c>
      <c r="O101" s="476">
        <f t="shared" si="22"/>
        <v>0</v>
      </c>
      <c r="P101" s="476">
        <f t="shared" si="23"/>
        <v>0</v>
      </c>
    </row>
    <row r="102" spans="1:16">
      <c r="B102" s="160" t="str">
        <f t="shared" si="24"/>
        <v/>
      </c>
      <c r="C102" s="470">
        <f>IF(D93="","-",+C101+1)</f>
        <v>2021</v>
      </c>
      <c r="D102" s="576">
        <v>1867776</v>
      </c>
      <c r="E102" s="577">
        <v>47835</v>
      </c>
      <c r="F102" s="576">
        <v>1819941</v>
      </c>
      <c r="G102" s="577">
        <v>1843858.5</v>
      </c>
      <c r="H102" s="600">
        <v>257652.80866980529</v>
      </c>
      <c r="I102" s="576">
        <v>257652.80866980529</v>
      </c>
      <c r="J102" s="476">
        <f t="shared" si="20"/>
        <v>0</v>
      </c>
      <c r="K102" s="476"/>
      <c r="L102" s="474">
        <f>H102</f>
        <v>257652.80866980529</v>
      </c>
      <c r="M102" s="347">
        <f>IF(L102&lt;&gt;0,+H102-L102,0)</f>
        <v>0</v>
      </c>
      <c r="N102" s="474">
        <f>I102</f>
        <v>257652.80866980529</v>
      </c>
      <c r="O102" s="476">
        <f t="shared" ref="O102" si="25">IF(N102&lt;&gt;0,+I102-N102,0)</f>
        <v>0</v>
      </c>
      <c r="P102" s="476">
        <f t="shared" ref="P102" si="26">+O102-M102</f>
        <v>0</v>
      </c>
    </row>
    <row r="103" spans="1:16">
      <c r="B103" s="160" t="str">
        <f t="shared" si="24"/>
        <v/>
      </c>
      <c r="C103" s="631">
        <f>IF(D93="","-",+C102+1)</f>
        <v>2022</v>
      </c>
      <c r="D103" s="345">
        <v>1819941</v>
      </c>
      <c r="E103" s="482">
        <v>50288</v>
      </c>
      <c r="F103" s="483">
        <v>1769653</v>
      </c>
      <c r="G103" s="483">
        <v>1794797</v>
      </c>
      <c r="H103" s="611">
        <v>248043.4948332576</v>
      </c>
      <c r="I103" s="612">
        <v>248043.4948332576</v>
      </c>
      <c r="J103" s="476">
        <f t="shared" si="20"/>
        <v>0</v>
      </c>
      <c r="K103" s="476"/>
      <c r="L103" s="485"/>
      <c r="M103" s="476">
        <f t="shared" si="21"/>
        <v>0</v>
      </c>
      <c r="N103" s="485"/>
      <c r="O103" s="476">
        <f t="shared" si="22"/>
        <v>0</v>
      </c>
      <c r="P103" s="476">
        <f t="shared" si="23"/>
        <v>0</v>
      </c>
    </row>
    <row r="104" spans="1:16">
      <c r="B104" s="160" t="str">
        <f t="shared" si="24"/>
        <v/>
      </c>
      <c r="C104" s="470">
        <f>IF(D93="","-",+C103+1)</f>
        <v>2023</v>
      </c>
      <c r="D104" s="345">
        <f>IF(F103+SUM(E$99:E103)=D$92,F103,D$92-SUM(E$99:E103))</f>
        <v>1769653</v>
      </c>
      <c r="E104" s="482">
        <f t="shared" ref="E104:E154" si="27">IF(+J$96&lt;F103,J$96,D104)</f>
        <v>47835</v>
      </c>
      <c r="F104" s="483">
        <f t="shared" ref="F104:F154" si="28">+D104-E104</f>
        <v>1721818</v>
      </c>
      <c r="G104" s="483">
        <f t="shared" ref="G104:G154" si="29">+(F104+D104)/2</f>
        <v>1745735.5</v>
      </c>
      <c r="H104" s="611">
        <f t="shared" ref="H104:H154" si="30">+J$94*G104+E104</f>
        <v>246487.11843917897</v>
      </c>
      <c r="I104" s="612">
        <f t="shared" ref="I104:I154" si="31">+J$95*G104+E104</f>
        <v>246487.11843917897</v>
      </c>
      <c r="J104" s="476">
        <f t="shared" si="20"/>
        <v>0</v>
      </c>
      <c r="K104" s="476"/>
      <c r="L104" s="485"/>
      <c r="M104" s="476">
        <f t="shared" si="21"/>
        <v>0</v>
      </c>
      <c r="N104" s="485"/>
      <c r="O104" s="476">
        <f t="shared" si="22"/>
        <v>0</v>
      </c>
      <c r="P104" s="476">
        <f t="shared" si="23"/>
        <v>0</v>
      </c>
    </row>
    <row r="105" spans="1:16">
      <c r="B105" s="160" t="str">
        <f t="shared" si="24"/>
        <v/>
      </c>
      <c r="C105" s="470">
        <f>IF(D93="","-",+C104+1)</f>
        <v>2024</v>
      </c>
      <c r="D105" s="345">
        <f>IF(F104+SUM(E$99:E104)=D$92,F104,D$92-SUM(E$99:E104))</f>
        <v>1721818</v>
      </c>
      <c r="E105" s="482">
        <f t="shared" si="27"/>
        <v>47835</v>
      </c>
      <c r="F105" s="483">
        <f t="shared" si="28"/>
        <v>1673983</v>
      </c>
      <c r="G105" s="483">
        <f t="shared" si="29"/>
        <v>1697900.5</v>
      </c>
      <c r="H105" s="611">
        <f t="shared" si="30"/>
        <v>241043.84018451892</v>
      </c>
      <c r="I105" s="612">
        <f t="shared" si="31"/>
        <v>241043.84018451892</v>
      </c>
      <c r="J105" s="476">
        <f t="shared" si="20"/>
        <v>0</v>
      </c>
      <c r="K105" s="476"/>
      <c r="L105" s="485"/>
      <c r="M105" s="476">
        <f t="shared" si="21"/>
        <v>0</v>
      </c>
      <c r="N105" s="485"/>
      <c r="O105" s="476">
        <f t="shared" si="22"/>
        <v>0</v>
      </c>
      <c r="P105" s="476">
        <f t="shared" si="23"/>
        <v>0</v>
      </c>
    </row>
    <row r="106" spans="1:16">
      <c r="B106" s="160" t="str">
        <f t="shared" si="24"/>
        <v/>
      </c>
      <c r="C106" s="470">
        <f>IF(D93="","-",+C105+1)</f>
        <v>2025</v>
      </c>
      <c r="D106" s="345">
        <f>IF(F105+SUM(E$99:E105)=D$92,F105,D$92-SUM(E$99:E105))</f>
        <v>1673983</v>
      </c>
      <c r="E106" s="482">
        <f t="shared" si="27"/>
        <v>47835</v>
      </c>
      <c r="F106" s="483">
        <f t="shared" si="28"/>
        <v>1626148</v>
      </c>
      <c r="G106" s="483">
        <f t="shared" si="29"/>
        <v>1650065.5</v>
      </c>
      <c r="H106" s="611">
        <f t="shared" si="30"/>
        <v>235600.56192985884</v>
      </c>
      <c r="I106" s="612">
        <f t="shared" si="31"/>
        <v>235600.56192985884</v>
      </c>
      <c r="J106" s="476">
        <f t="shared" si="20"/>
        <v>0</v>
      </c>
      <c r="K106" s="476"/>
      <c r="L106" s="485"/>
      <c r="M106" s="476">
        <f t="shared" si="21"/>
        <v>0</v>
      </c>
      <c r="N106" s="485"/>
      <c r="O106" s="476">
        <f t="shared" si="22"/>
        <v>0</v>
      </c>
      <c r="P106" s="476">
        <f t="shared" si="23"/>
        <v>0</v>
      </c>
    </row>
    <row r="107" spans="1:16">
      <c r="B107" s="160" t="str">
        <f t="shared" si="24"/>
        <v/>
      </c>
      <c r="C107" s="470">
        <f>IF(D93="","-",+C106+1)</f>
        <v>2026</v>
      </c>
      <c r="D107" s="345">
        <f>IF(F106+SUM(E$99:E106)=D$92,F106,D$92-SUM(E$99:E106))</f>
        <v>1626148</v>
      </c>
      <c r="E107" s="482">
        <f t="shared" si="27"/>
        <v>47835</v>
      </c>
      <c r="F107" s="483">
        <f t="shared" si="28"/>
        <v>1578313</v>
      </c>
      <c r="G107" s="483">
        <f t="shared" si="29"/>
        <v>1602230.5</v>
      </c>
      <c r="H107" s="611">
        <f t="shared" si="30"/>
        <v>230157.28367519876</v>
      </c>
      <c r="I107" s="612">
        <f t="shared" si="31"/>
        <v>230157.28367519876</v>
      </c>
      <c r="J107" s="476">
        <f t="shared" si="20"/>
        <v>0</v>
      </c>
      <c r="K107" s="476"/>
      <c r="L107" s="485"/>
      <c r="M107" s="476">
        <f t="shared" si="21"/>
        <v>0</v>
      </c>
      <c r="N107" s="485"/>
      <c r="O107" s="476">
        <f t="shared" si="22"/>
        <v>0</v>
      </c>
      <c r="P107" s="476">
        <f t="shared" si="23"/>
        <v>0</v>
      </c>
    </row>
    <row r="108" spans="1:16">
      <c r="B108" s="160" t="str">
        <f t="shared" si="24"/>
        <v/>
      </c>
      <c r="C108" s="470">
        <f>IF(D93="","-",+C107+1)</f>
        <v>2027</v>
      </c>
      <c r="D108" s="345">
        <f>IF(F107+SUM(E$99:E107)=D$92,F107,D$92-SUM(E$99:E107))</f>
        <v>1578313</v>
      </c>
      <c r="E108" s="482">
        <f t="shared" si="27"/>
        <v>47835</v>
      </c>
      <c r="F108" s="483">
        <f t="shared" si="28"/>
        <v>1530478</v>
      </c>
      <c r="G108" s="483">
        <f t="shared" si="29"/>
        <v>1554395.5</v>
      </c>
      <c r="H108" s="611">
        <f t="shared" si="30"/>
        <v>224714.00542053871</v>
      </c>
      <c r="I108" s="612">
        <f t="shared" si="31"/>
        <v>224714.00542053871</v>
      </c>
      <c r="J108" s="476">
        <f t="shared" si="20"/>
        <v>0</v>
      </c>
      <c r="K108" s="476"/>
      <c r="L108" s="485"/>
      <c r="M108" s="476">
        <f t="shared" si="21"/>
        <v>0</v>
      </c>
      <c r="N108" s="485"/>
      <c r="O108" s="476">
        <f t="shared" si="22"/>
        <v>0</v>
      </c>
      <c r="P108" s="476">
        <f t="shared" si="23"/>
        <v>0</v>
      </c>
    </row>
    <row r="109" spans="1:16">
      <c r="B109" s="160" t="str">
        <f t="shared" si="24"/>
        <v/>
      </c>
      <c r="C109" s="470">
        <f>IF(D93="","-",+C108+1)</f>
        <v>2028</v>
      </c>
      <c r="D109" s="345">
        <f>IF(F108+SUM(E$99:E108)=D$92,F108,D$92-SUM(E$99:E108))</f>
        <v>1530478</v>
      </c>
      <c r="E109" s="482">
        <f t="shared" si="27"/>
        <v>47835</v>
      </c>
      <c r="F109" s="483">
        <f t="shared" si="28"/>
        <v>1482643</v>
      </c>
      <c r="G109" s="483">
        <f t="shared" si="29"/>
        <v>1506560.5</v>
      </c>
      <c r="H109" s="611">
        <f t="shared" si="30"/>
        <v>219270.72716587863</v>
      </c>
      <c r="I109" s="612">
        <f t="shared" si="31"/>
        <v>219270.72716587863</v>
      </c>
      <c r="J109" s="476">
        <f t="shared" si="20"/>
        <v>0</v>
      </c>
      <c r="K109" s="476"/>
      <c r="L109" s="485"/>
      <c r="M109" s="476">
        <f t="shared" si="21"/>
        <v>0</v>
      </c>
      <c r="N109" s="485"/>
      <c r="O109" s="476">
        <f t="shared" si="22"/>
        <v>0</v>
      </c>
      <c r="P109" s="476">
        <f t="shared" si="23"/>
        <v>0</v>
      </c>
    </row>
    <row r="110" spans="1:16">
      <c r="B110" s="160" t="str">
        <f t="shared" si="24"/>
        <v/>
      </c>
      <c r="C110" s="470">
        <f>IF(D93="","-",+C109+1)</f>
        <v>2029</v>
      </c>
      <c r="D110" s="345">
        <f>IF(F109+SUM(E$99:E109)=D$92,F109,D$92-SUM(E$99:E109))</f>
        <v>1482643</v>
      </c>
      <c r="E110" s="482">
        <f t="shared" si="27"/>
        <v>47835</v>
      </c>
      <c r="F110" s="483">
        <f t="shared" si="28"/>
        <v>1434808</v>
      </c>
      <c r="G110" s="483">
        <f t="shared" si="29"/>
        <v>1458725.5</v>
      </c>
      <c r="H110" s="611">
        <f t="shared" si="30"/>
        <v>213827.44891121855</v>
      </c>
      <c r="I110" s="612">
        <f t="shared" si="31"/>
        <v>213827.44891121855</v>
      </c>
      <c r="J110" s="476">
        <f t="shared" si="20"/>
        <v>0</v>
      </c>
      <c r="K110" s="476"/>
      <c r="L110" s="485"/>
      <c r="M110" s="476">
        <f t="shared" si="21"/>
        <v>0</v>
      </c>
      <c r="N110" s="485"/>
      <c r="O110" s="476">
        <f t="shared" si="22"/>
        <v>0</v>
      </c>
      <c r="P110" s="476">
        <f t="shared" si="23"/>
        <v>0</v>
      </c>
    </row>
    <row r="111" spans="1:16">
      <c r="B111" s="160" t="str">
        <f t="shared" si="24"/>
        <v/>
      </c>
      <c r="C111" s="470">
        <f>IF(D93="","-",+C110+1)</f>
        <v>2030</v>
      </c>
      <c r="D111" s="345">
        <f>IF(F110+SUM(E$99:E110)=D$92,F110,D$92-SUM(E$99:E110))</f>
        <v>1434808</v>
      </c>
      <c r="E111" s="482">
        <f t="shared" si="27"/>
        <v>47835</v>
      </c>
      <c r="F111" s="483">
        <f t="shared" si="28"/>
        <v>1386973</v>
      </c>
      <c r="G111" s="483">
        <f t="shared" si="29"/>
        <v>1410890.5</v>
      </c>
      <c r="H111" s="611">
        <f t="shared" si="30"/>
        <v>208384.17065655848</v>
      </c>
      <c r="I111" s="612">
        <f t="shared" si="31"/>
        <v>208384.17065655848</v>
      </c>
      <c r="J111" s="476">
        <f t="shared" si="20"/>
        <v>0</v>
      </c>
      <c r="K111" s="476"/>
      <c r="L111" s="485"/>
      <c r="M111" s="476">
        <f t="shared" si="21"/>
        <v>0</v>
      </c>
      <c r="N111" s="485"/>
      <c r="O111" s="476">
        <f t="shared" si="22"/>
        <v>0</v>
      </c>
      <c r="P111" s="476">
        <f t="shared" si="23"/>
        <v>0</v>
      </c>
    </row>
    <row r="112" spans="1:16">
      <c r="B112" s="160" t="str">
        <f t="shared" si="24"/>
        <v/>
      </c>
      <c r="C112" s="470">
        <f>IF(D93="","-",+C111+1)</f>
        <v>2031</v>
      </c>
      <c r="D112" s="345">
        <f>IF(F111+SUM(E$99:E111)=D$92,F111,D$92-SUM(E$99:E111))</f>
        <v>1386973</v>
      </c>
      <c r="E112" s="482">
        <f t="shared" si="27"/>
        <v>47835</v>
      </c>
      <c r="F112" s="483">
        <f t="shared" si="28"/>
        <v>1339138</v>
      </c>
      <c r="G112" s="483">
        <f t="shared" si="29"/>
        <v>1363055.5</v>
      </c>
      <c r="H112" s="611">
        <f t="shared" si="30"/>
        <v>202940.89240189843</v>
      </c>
      <c r="I112" s="612">
        <f t="shared" si="31"/>
        <v>202940.89240189843</v>
      </c>
      <c r="J112" s="476">
        <f t="shared" si="20"/>
        <v>0</v>
      </c>
      <c r="K112" s="476"/>
      <c r="L112" s="485"/>
      <c r="M112" s="476">
        <f t="shared" si="21"/>
        <v>0</v>
      </c>
      <c r="N112" s="485"/>
      <c r="O112" s="476">
        <f t="shared" si="22"/>
        <v>0</v>
      </c>
      <c r="P112" s="476">
        <f t="shared" si="23"/>
        <v>0</v>
      </c>
    </row>
    <row r="113" spans="2:16">
      <c r="B113" s="160" t="str">
        <f t="shared" si="24"/>
        <v/>
      </c>
      <c r="C113" s="470">
        <f>IF(D93="","-",+C112+1)</f>
        <v>2032</v>
      </c>
      <c r="D113" s="345">
        <f>IF(F112+SUM(E$99:E112)=D$92,F112,D$92-SUM(E$99:E112))</f>
        <v>1339138</v>
      </c>
      <c r="E113" s="482">
        <f t="shared" si="27"/>
        <v>47835</v>
      </c>
      <c r="F113" s="483">
        <f t="shared" si="28"/>
        <v>1291303</v>
      </c>
      <c r="G113" s="483">
        <f t="shared" si="29"/>
        <v>1315220.5</v>
      </c>
      <c r="H113" s="611">
        <f t="shared" si="30"/>
        <v>197497.61414723835</v>
      </c>
      <c r="I113" s="612">
        <f t="shared" si="31"/>
        <v>197497.61414723835</v>
      </c>
      <c r="J113" s="476">
        <f t="shared" si="20"/>
        <v>0</v>
      </c>
      <c r="K113" s="476"/>
      <c r="L113" s="485"/>
      <c r="M113" s="476">
        <f t="shared" si="21"/>
        <v>0</v>
      </c>
      <c r="N113" s="485"/>
      <c r="O113" s="476">
        <f t="shared" si="22"/>
        <v>0</v>
      </c>
      <c r="P113" s="476">
        <f t="shared" si="23"/>
        <v>0</v>
      </c>
    </row>
    <row r="114" spans="2:16">
      <c r="B114" s="160" t="str">
        <f t="shared" si="24"/>
        <v/>
      </c>
      <c r="C114" s="470">
        <f>IF(D93="","-",+C113+1)</f>
        <v>2033</v>
      </c>
      <c r="D114" s="345">
        <f>IF(F113+SUM(E$99:E113)=D$92,F113,D$92-SUM(E$99:E113))</f>
        <v>1291303</v>
      </c>
      <c r="E114" s="482">
        <f t="shared" si="27"/>
        <v>47835</v>
      </c>
      <c r="F114" s="483">
        <f t="shared" si="28"/>
        <v>1243468</v>
      </c>
      <c r="G114" s="483">
        <f t="shared" si="29"/>
        <v>1267385.5</v>
      </c>
      <c r="H114" s="611">
        <f t="shared" si="30"/>
        <v>192054.33589257827</v>
      </c>
      <c r="I114" s="612">
        <f t="shared" si="31"/>
        <v>192054.33589257827</v>
      </c>
      <c r="J114" s="476">
        <f t="shared" si="20"/>
        <v>0</v>
      </c>
      <c r="K114" s="476"/>
      <c r="L114" s="485"/>
      <c r="M114" s="476">
        <f t="shared" si="21"/>
        <v>0</v>
      </c>
      <c r="N114" s="485"/>
      <c r="O114" s="476">
        <f t="shared" si="22"/>
        <v>0</v>
      </c>
      <c r="P114" s="476">
        <f t="shared" si="23"/>
        <v>0</v>
      </c>
    </row>
    <row r="115" spans="2:16">
      <c r="B115" s="160" t="str">
        <f t="shared" si="24"/>
        <v/>
      </c>
      <c r="C115" s="470">
        <f>IF(D93="","-",+C114+1)</f>
        <v>2034</v>
      </c>
      <c r="D115" s="345">
        <f>IF(F114+SUM(E$99:E114)=D$92,F114,D$92-SUM(E$99:E114))</f>
        <v>1243468</v>
      </c>
      <c r="E115" s="482">
        <f t="shared" si="27"/>
        <v>47835</v>
      </c>
      <c r="F115" s="483">
        <f t="shared" si="28"/>
        <v>1195633</v>
      </c>
      <c r="G115" s="483">
        <f t="shared" si="29"/>
        <v>1219550.5</v>
      </c>
      <c r="H115" s="611">
        <f t="shared" si="30"/>
        <v>186611.05763791819</v>
      </c>
      <c r="I115" s="612">
        <f t="shared" si="31"/>
        <v>186611.05763791819</v>
      </c>
      <c r="J115" s="476">
        <f t="shared" si="20"/>
        <v>0</v>
      </c>
      <c r="K115" s="476"/>
      <c r="L115" s="485"/>
      <c r="M115" s="476">
        <f t="shared" si="21"/>
        <v>0</v>
      </c>
      <c r="N115" s="485"/>
      <c r="O115" s="476">
        <f t="shared" si="22"/>
        <v>0</v>
      </c>
      <c r="P115" s="476">
        <f t="shared" si="23"/>
        <v>0</v>
      </c>
    </row>
    <row r="116" spans="2:16">
      <c r="B116" s="160" t="str">
        <f t="shared" si="24"/>
        <v/>
      </c>
      <c r="C116" s="470">
        <f>IF(D93="","-",+C115+1)</f>
        <v>2035</v>
      </c>
      <c r="D116" s="345">
        <f>IF(F115+SUM(E$99:E115)=D$92,F115,D$92-SUM(E$99:E115))</f>
        <v>1195633</v>
      </c>
      <c r="E116" s="482">
        <f t="shared" si="27"/>
        <v>47835</v>
      </c>
      <c r="F116" s="483">
        <f t="shared" si="28"/>
        <v>1147798</v>
      </c>
      <c r="G116" s="483">
        <f t="shared" si="29"/>
        <v>1171715.5</v>
      </c>
      <c r="H116" s="611">
        <f t="shared" si="30"/>
        <v>181167.77938325814</v>
      </c>
      <c r="I116" s="612">
        <f t="shared" si="31"/>
        <v>181167.77938325814</v>
      </c>
      <c r="J116" s="476">
        <f t="shared" si="20"/>
        <v>0</v>
      </c>
      <c r="K116" s="476"/>
      <c r="L116" s="485"/>
      <c r="M116" s="476">
        <f t="shared" si="21"/>
        <v>0</v>
      </c>
      <c r="N116" s="485"/>
      <c r="O116" s="476">
        <f t="shared" si="22"/>
        <v>0</v>
      </c>
      <c r="P116" s="476">
        <f t="shared" si="23"/>
        <v>0</v>
      </c>
    </row>
    <row r="117" spans="2:16">
      <c r="B117" s="160" t="str">
        <f t="shared" si="24"/>
        <v/>
      </c>
      <c r="C117" s="470">
        <f>IF(D93="","-",+C116+1)</f>
        <v>2036</v>
      </c>
      <c r="D117" s="345">
        <f>IF(F116+SUM(E$99:E116)=D$92,F116,D$92-SUM(E$99:E116))</f>
        <v>1147798</v>
      </c>
      <c r="E117" s="482">
        <f t="shared" si="27"/>
        <v>47835</v>
      </c>
      <c r="F117" s="483">
        <f t="shared" si="28"/>
        <v>1099963</v>
      </c>
      <c r="G117" s="483">
        <f t="shared" si="29"/>
        <v>1123880.5</v>
      </c>
      <c r="H117" s="611">
        <f t="shared" si="30"/>
        <v>175724.50112859806</v>
      </c>
      <c r="I117" s="612">
        <f t="shared" si="31"/>
        <v>175724.50112859806</v>
      </c>
      <c r="J117" s="476">
        <f t="shared" si="20"/>
        <v>0</v>
      </c>
      <c r="K117" s="476"/>
      <c r="L117" s="485"/>
      <c r="M117" s="476">
        <f t="shared" si="21"/>
        <v>0</v>
      </c>
      <c r="N117" s="485"/>
      <c r="O117" s="476">
        <f t="shared" si="22"/>
        <v>0</v>
      </c>
      <c r="P117" s="476">
        <f t="shared" si="23"/>
        <v>0</v>
      </c>
    </row>
    <row r="118" spans="2:16">
      <c r="B118" s="160" t="str">
        <f t="shared" si="24"/>
        <v/>
      </c>
      <c r="C118" s="470">
        <f>IF(D93="","-",+C117+1)</f>
        <v>2037</v>
      </c>
      <c r="D118" s="345">
        <f>IF(F117+SUM(E$99:E117)=D$92,F117,D$92-SUM(E$99:E117))</f>
        <v>1099963</v>
      </c>
      <c r="E118" s="482">
        <f t="shared" si="27"/>
        <v>47835</v>
      </c>
      <c r="F118" s="483">
        <f t="shared" si="28"/>
        <v>1052128</v>
      </c>
      <c r="G118" s="483">
        <f t="shared" si="29"/>
        <v>1076045.5</v>
      </c>
      <c r="H118" s="611">
        <f t="shared" si="30"/>
        <v>170281.22287393798</v>
      </c>
      <c r="I118" s="612">
        <f t="shared" si="31"/>
        <v>170281.22287393798</v>
      </c>
      <c r="J118" s="476">
        <f t="shared" si="20"/>
        <v>0</v>
      </c>
      <c r="K118" s="476"/>
      <c r="L118" s="485"/>
      <c r="M118" s="476">
        <f t="shared" si="21"/>
        <v>0</v>
      </c>
      <c r="N118" s="485"/>
      <c r="O118" s="476">
        <f t="shared" si="22"/>
        <v>0</v>
      </c>
      <c r="P118" s="476">
        <f t="shared" si="23"/>
        <v>0</v>
      </c>
    </row>
    <row r="119" spans="2:16">
      <c r="B119" s="160" t="str">
        <f t="shared" si="24"/>
        <v/>
      </c>
      <c r="C119" s="470">
        <f>IF(D93="","-",+C118+1)</f>
        <v>2038</v>
      </c>
      <c r="D119" s="345">
        <f>IF(F118+SUM(E$99:E118)=D$92,F118,D$92-SUM(E$99:E118))</f>
        <v>1052128</v>
      </c>
      <c r="E119" s="482">
        <f t="shared" si="27"/>
        <v>47835</v>
      </c>
      <c r="F119" s="483">
        <f t="shared" si="28"/>
        <v>1004293</v>
      </c>
      <c r="G119" s="483">
        <f t="shared" si="29"/>
        <v>1028210.5</v>
      </c>
      <c r="H119" s="611">
        <f t="shared" si="30"/>
        <v>164837.9446192779</v>
      </c>
      <c r="I119" s="612">
        <f t="shared" si="31"/>
        <v>164837.9446192779</v>
      </c>
      <c r="J119" s="476">
        <f t="shared" si="20"/>
        <v>0</v>
      </c>
      <c r="K119" s="476"/>
      <c r="L119" s="485"/>
      <c r="M119" s="476">
        <f t="shared" si="21"/>
        <v>0</v>
      </c>
      <c r="N119" s="485"/>
      <c r="O119" s="476">
        <f t="shared" si="22"/>
        <v>0</v>
      </c>
      <c r="P119" s="476">
        <f t="shared" si="23"/>
        <v>0</v>
      </c>
    </row>
    <row r="120" spans="2:16">
      <c r="B120" s="160" t="str">
        <f t="shared" si="24"/>
        <v/>
      </c>
      <c r="C120" s="470">
        <f>IF(D93="","-",+C119+1)</f>
        <v>2039</v>
      </c>
      <c r="D120" s="345">
        <f>IF(F119+SUM(E$99:E119)=D$92,F119,D$92-SUM(E$99:E119))</f>
        <v>1004293</v>
      </c>
      <c r="E120" s="482">
        <f t="shared" si="27"/>
        <v>47835</v>
      </c>
      <c r="F120" s="483">
        <f t="shared" si="28"/>
        <v>956458</v>
      </c>
      <c r="G120" s="483">
        <f t="shared" si="29"/>
        <v>980375.5</v>
      </c>
      <c r="H120" s="611">
        <f t="shared" si="30"/>
        <v>159394.66636461785</v>
      </c>
      <c r="I120" s="612">
        <f t="shared" si="31"/>
        <v>159394.66636461785</v>
      </c>
      <c r="J120" s="476">
        <f t="shared" si="20"/>
        <v>0</v>
      </c>
      <c r="K120" s="476"/>
      <c r="L120" s="485"/>
      <c r="M120" s="476">
        <f t="shared" si="21"/>
        <v>0</v>
      </c>
      <c r="N120" s="485"/>
      <c r="O120" s="476">
        <f t="shared" si="22"/>
        <v>0</v>
      </c>
      <c r="P120" s="476">
        <f t="shared" si="23"/>
        <v>0</v>
      </c>
    </row>
    <row r="121" spans="2:16">
      <c r="B121" s="160" t="str">
        <f t="shared" si="24"/>
        <v/>
      </c>
      <c r="C121" s="470">
        <f>IF(D93="","-",+C120+1)</f>
        <v>2040</v>
      </c>
      <c r="D121" s="345">
        <f>IF(F120+SUM(E$99:E120)=D$92,F120,D$92-SUM(E$99:E120))</f>
        <v>956458</v>
      </c>
      <c r="E121" s="482">
        <f t="shared" si="27"/>
        <v>47835</v>
      </c>
      <c r="F121" s="483">
        <f t="shared" si="28"/>
        <v>908623</v>
      </c>
      <c r="G121" s="483">
        <f t="shared" si="29"/>
        <v>932540.5</v>
      </c>
      <c r="H121" s="611">
        <f t="shared" si="30"/>
        <v>153951.38810995777</v>
      </c>
      <c r="I121" s="612">
        <f t="shared" si="31"/>
        <v>153951.38810995777</v>
      </c>
      <c r="J121" s="476">
        <f t="shared" si="20"/>
        <v>0</v>
      </c>
      <c r="K121" s="476"/>
      <c r="L121" s="485"/>
      <c r="M121" s="476">
        <f t="shared" si="21"/>
        <v>0</v>
      </c>
      <c r="N121" s="485"/>
      <c r="O121" s="476">
        <f t="shared" si="22"/>
        <v>0</v>
      </c>
      <c r="P121" s="476">
        <f t="shared" si="23"/>
        <v>0</v>
      </c>
    </row>
    <row r="122" spans="2:16">
      <c r="B122" s="160" t="str">
        <f t="shared" si="24"/>
        <v/>
      </c>
      <c r="C122" s="470">
        <f>IF(D93="","-",+C121+1)</f>
        <v>2041</v>
      </c>
      <c r="D122" s="345">
        <f>IF(F121+SUM(E$99:E121)=D$92,F121,D$92-SUM(E$99:E121))</f>
        <v>908623</v>
      </c>
      <c r="E122" s="482">
        <f t="shared" si="27"/>
        <v>47835</v>
      </c>
      <c r="F122" s="483">
        <f t="shared" si="28"/>
        <v>860788</v>
      </c>
      <c r="G122" s="483">
        <f t="shared" si="29"/>
        <v>884705.5</v>
      </c>
      <c r="H122" s="611">
        <f t="shared" si="30"/>
        <v>148508.10985529772</v>
      </c>
      <c r="I122" s="612">
        <f t="shared" si="31"/>
        <v>148508.10985529772</v>
      </c>
      <c r="J122" s="476">
        <f t="shared" si="20"/>
        <v>0</v>
      </c>
      <c r="K122" s="476"/>
      <c r="L122" s="485"/>
      <c r="M122" s="476">
        <f t="shared" si="21"/>
        <v>0</v>
      </c>
      <c r="N122" s="485"/>
      <c r="O122" s="476">
        <f t="shared" si="22"/>
        <v>0</v>
      </c>
      <c r="P122" s="476">
        <f t="shared" si="23"/>
        <v>0</v>
      </c>
    </row>
    <row r="123" spans="2:16">
      <c r="B123" s="160" t="str">
        <f t="shared" si="24"/>
        <v/>
      </c>
      <c r="C123" s="470">
        <f>IF(D93="","-",+C122+1)</f>
        <v>2042</v>
      </c>
      <c r="D123" s="345">
        <f>IF(F122+SUM(E$99:E122)=D$92,F122,D$92-SUM(E$99:E122))</f>
        <v>860788</v>
      </c>
      <c r="E123" s="482">
        <f t="shared" si="27"/>
        <v>47835</v>
      </c>
      <c r="F123" s="483">
        <f t="shared" si="28"/>
        <v>812953</v>
      </c>
      <c r="G123" s="483">
        <f t="shared" si="29"/>
        <v>836870.5</v>
      </c>
      <c r="H123" s="611">
        <f t="shared" si="30"/>
        <v>143064.83160063764</v>
      </c>
      <c r="I123" s="612">
        <f t="shared" si="31"/>
        <v>143064.83160063764</v>
      </c>
      <c r="J123" s="476">
        <f t="shared" si="20"/>
        <v>0</v>
      </c>
      <c r="K123" s="476"/>
      <c r="L123" s="485"/>
      <c r="M123" s="476">
        <f t="shared" si="21"/>
        <v>0</v>
      </c>
      <c r="N123" s="485"/>
      <c r="O123" s="476">
        <f t="shared" si="22"/>
        <v>0</v>
      </c>
      <c r="P123" s="476">
        <f t="shared" si="23"/>
        <v>0</v>
      </c>
    </row>
    <row r="124" spans="2:16">
      <c r="B124" s="160" t="str">
        <f t="shared" si="24"/>
        <v/>
      </c>
      <c r="C124" s="470">
        <f>IF(D93="","-",+C123+1)</f>
        <v>2043</v>
      </c>
      <c r="D124" s="345">
        <f>IF(F123+SUM(E$99:E123)=D$92,F123,D$92-SUM(E$99:E123))</f>
        <v>812953</v>
      </c>
      <c r="E124" s="482">
        <f t="shared" si="27"/>
        <v>47835</v>
      </c>
      <c r="F124" s="483">
        <f t="shared" si="28"/>
        <v>765118</v>
      </c>
      <c r="G124" s="483">
        <f t="shared" si="29"/>
        <v>789035.5</v>
      </c>
      <c r="H124" s="611">
        <f t="shared" si="30"/>
        <v>137621.55334597756</v>
      </c>
      <c r="I124" s="612">
        <f t="shared" si="31"/>
        <v>137621.55334597756</v>
      </c>
      <c r="J124" s="476">
        <f t="shared" si="20"/>
        <v>0</v>
      </c>
      <c r="K124" s="476"/>
      <c r="L124" s="485"/>
      <c r="M124" s="476">
        <f t="shared" si="21"/>
        <v>0</v>
      </c>
      <c r="N124" s="485"/>
      <c r="O124" s="476">
        <f t="shared" si="22"/>
        <v>0</v>
      </c>
      <c r="P124" s="476">
        <f t="shared" si="23"/>
        <v>0</v>
      </c>
    </row>
    <row r="125" spans="2:16">
      <c r="B125" s="160" t="str">
        <f t="shared" si="24"/>
        <v/>
      </c>
      <c r="C125" s="470">
        <f>IF(D93="","-",+C124+1)</f>
        <v>2044</v>
      </c>
      <c r="D125" s="345">
        <f>IF(F124+SUM(E$99:E124)=D$92,F124,D$92-SUM(E$99:E124))</f>
        <v>765118</v>
      </c>
      <c r="E125" s="482">
        <f t="shared" si="27"/>
        <v>47835</v>
      </c>
      <c r="F125" s="483">
        <f t="shared" si="28"/>
        <v>717283</v>
      </c>
      <c r="G125" s="483">
        <f t="shared" si="29"/>
        <v>741200.5</v>
      </c>
      <c r="H125" s="611">
        <f t="shared" si="30"/>
        <v>132178.27509131748</v>
      </c>
      <c r="I125" s="612">
        <f t="shared" si="31"/>
        <v>132178.27509131748</v>
      </c>
      <c r="J125" s="476">
        <f t="shared" si="20"/>
        <v>0</v>
      </c>
      <c r="K125" s="476"/>
      <c r="L125" s="485"/>
      <c r="M125" s="476">
        <f t="shared" si="21"/>
        <v>0</v>
      </c>
      <c r="N125" s="485"/>
      <c r="O125" s="476">
        <f t="shared" si="22"/>
        <v>0</v>
      </c>
      <c r="P125" s="476">
        <f t="shared" si="23"/>
        <v>0</v>
      </c>
    </row>
    <row r="126" spans="2:16">
      <c r="B126" s="160" t="str">
        <f t="shared" si="24"/>
        <v/>
      </c>
      <c r="C126" s="470">
        <f>IF(D93="","-",+C125+1)</f>
        <v>2045</v>
      </c>
      <c r="D126" s="345">
        <f>IF(F125+SUM(E$99:E125)=D$92,F125,D$92-SUM(E$99:E125))</f>
        <v>717283</v>
      </c>
      <c r="E126" s="482">
        <f t="shared" si="27"/>
        <v>47835</v>
      </c>
      <c r="F126" s="483">
        <f t="shared" si="28"/>
        <v>669448</v>
      </c>
      <c r="G126" s="483">
        <f t="shared" si="29"/>
        <v>693365.5</v>
      </c>
      <c r="H126" s="611">
        <f t="shared" si="30"/>
        <v>126734.99683665742</v>
      </c>
      <c r="I126" s="612">
        <f t="shared" si="31"/>
        <v>126734.99683665742</v>
      </c>
      <c r="J126" s="476">
        <f t="shared" si="20"/>
        <v>0</v>
      </c>
      <c r="K126" s="476"/>
      <c r="L126" s="485"/>
      <c r="M126" s="476">
        <f t="shared" si="21"/>
        <v>0</v>
      </c>
      <c r="N126" s="485"/>
      <c r="O126" s="476">
        <f t="shared" si="22"/>
        <v>0</v>
      </c>
      <c r="P126" s="476">
        <f t="shared" si="23"/>
        <v>0</v>
      </c>
    </row>
    <row r="127" spans="2:16">
      <c r="B127" s="160" t="str">
        <f t="shared" si="24"/>
        <v/>
      </c>
      <c r="C127" s="470">
        <f>IF(D93="","-",+C126+1)</f>
        <v>2046</v>
      </c>
      <c r="D127" s="345">
        <f>IF(F126+SUM(E$99:E126)=D$92,F126,D$92-SUM(E$99:E126))</f>
        <v>669448</v>
      </c>
      <c r="E127" s="482">
        <f t="shared" si="27"/>
        <v>47835</v>
      </c>
      <c r="F127" s="483">
        <f t="shared" si="28"/>
        <v>621613</v>
      </c>
      <c r="G127" s="483">
        <f t="shared" si="29"/>
        <v>645530.5</v>
      </c>
      <c r="H127" s="611">
        <f t="shared" si="30"/>
        <v>121291.71858199735</v>
      </c>
      <c r="I127" s="612">
        <f t="shared" si="31"/>
        <v>121291.71858199735</v>
      </c>
      <c r="J127" s="476">
        <f t="shared" si="20"/>
        <v>0</v>
      </c>
      <c r="K127" s="476"/>
      <c r="L127" s="485"/>
      <c r="M127" s="476">
        <f t="shared" si="21"/>
        <v>0</v>
      </c>
      <c r="N127" s="485"/>
      <c r="O127" s="476">
        <f t="shared" si="22"/>
        <v>0</v>
      </c>
      <c r="P127" s="476">
        <f t="shared" si="23"/>
        <v>0</v>
      </c>
    </row>
    <row r="128" spans="2:16">
      <c r="B128" s="160" t="str">
        <f t="shared" si="24"/>
        <v/>
      </c>
      <c r="C128" s="470">
        <f>IF(D93="","-",+C127+1)</f>
        <v>2047</v>
      </c>
      <c r="D128" s="345">
        <f>IF(F127+SUM(E$99:E127)=D$92,F127,D$92-SUM(E$99:E127))</f>
        <v>621613</v>
      </c>
      <c r="E128" s="482">
        <f t="shared" si="27"/>
        <v>47835</v>
      </c>
      <c r="F128" s="483">
        <f t="shared" si="28"/>
        <v>573778</v>
      </c>
      <c r="G128" s="483">
        <f t="shared" si="29"/>
        <v>597695.5</v>
      </c>
      <c r="H128" s="611">
        <f t="shared" si="30"/>
        <v>115848.44032733727</v>
      </c>
      <c r="I128" s="612">
        <f t="shared" si="31"/>
        <v>115848.44032733727</v>
      </c>
      <c r="J128" s="476">
        <f t="shared" si="20"/>
        <v>0</v>
      </c>
      <c r="K128" s="476"/>
      <c r="L128" s="485"/>
      <c r="M128" s="476">
        <f t="shared" si="21"/>
        <v>0</v>
      </c>
      <c r="N128" s="485"/>
      <c r="O128" s="476">
        <f t="shared" si="22"/>
        <v>0</v>
      </c>
      <c r="P128" s="476">
        <f t="shared" si="23"/>
        <v>0</v>
      </c>
    </row>
    <row r="129" spans="2:16">
      <c r="B129" s="160" t="str">
        <f t="shared" si="24"/>
        <v/>
      </c>
      <c r="C129" s="470">
        <f>IF(D93="","-",+C128+1)</f>
        <v>2048</v>
      </c>
      <c r="D129" s="345">
        <f>IF(F128+SUM(E$99:E128)=D$92,F128,D$92-SUM(E$99:E128))</f>
        <v>573778</v>
      </c>
      <c r="E129" s="482">
        <f t="shared" si="27"/>
        <v>47835</v>
      </c>
      <c r="F129" s="483">
        <f t="shared" si="28"/>
        <v>525943</v>
      </c>
      <c r="G129" s="483">
        <f t="shared" si="29"/>
        <v>549860.5</v>
      </c>
      <c r="H129" s="611">
        <f t="shared" si="30"/>
        <v>110405.16207267719</v>
      </c>
      <c r="I129" s="612">
        <f t="shared" si="31"/>
        <v>110405.16207267719</v>
      </c>
      <c r="J129" s="476">
        <f t="shared" si="20"/>
        <v>0</v>
      </c>
      <c r="K129" s="476"/>
      <c r="L129" s="485"/>
      <c r="M129" s="476">
        <f t="shared" si="21"/>
        <v>0</v>
      </c>
      <c r="N129" s="485"/>
      <c r="O129" s="476">
        <f t="shared" si="22"/>
        <v>0</v>
      </c>
      <c r="P129" s="476">
        <f t="shared" si="23"/>
        <v>0</v>
      </c>
    </row>
    <row r="130" spans="2:16">
      <c r="B130" s="160" t="str">
        <f t="shared" si="24"/>
        <v/>
      </c>
      <c r="C130" s="470">
        <f>IF(D93="","-",+C129+1)</f>
        <v>2049</v>
      </c>
      <c r="D130" s="345">
        <f>IF(F129+SUM(E$99:E129)=D$92,F129,D$92-SUM(E$99:E129))</f>
        <v>525943</v>
      </c>
      <c r="E130" s="482">
        <f t="shared" si="27"/>
        <v>47835</v>
      </c>
      <c r="F130" s="483">
        <f t="shared" si="28"/>
        <v>478108</v>
      </c>
      <c r="G130" s="483">
        <f t="shared" si="29"/>
        <v>502025.5</v>
      </c>
      <c r="H130" s="611">
        <f t="shared" si="30"/>
        <v>104961.88381801714</v>
      </c>
      <c r="I130" s="612">
        <f t="shared" si="31"/>
        <v>104961.88381801714</v>
      </c>
      <c r="J130" s="476">
        <f t="shared" si="20"/>
        <v>0</v>
      </c>
      <c r="K130" s="476"/>
      <c r="L130" s="485"/>
      <c r="M130" s="476">
        <f t="shared" si="21"/>
        <v>0</v>
      </c>
      <c r="N130" s="485"/>
      <c r="O130" s="476">
        <f t="shared" si="22"/>
        <v>0</v>
      </c>
      <c r="P130" s="476">
        <f t="shared" si="23"/>
        <v>0</v>
      </c>
    </row>
    <row r="131" spans="2:16">
      <c r="B131" s="160" t="str">
        <f t="shared" si="24"/>
        <v/>
      </c>
      <c r="C131" s="470">
        <f>IF(D93="","-",+C130+1)</f>
        <v>2050</v>
      </c>
      <c r="D131" s="345">
        <f>IF(F130+SUM(E$99:E130)=D$92,F130,D$92-SUM(E$99:E130))</f>
        <v>478108</v>
      </c>
      <c r="E131" s="482">
        <f t="shared" si="27"/>
        <v>47835</v>
      </c>
      <c r="F131" s="483">
        <f t="shared" si="28"/>
        <v>430273</v>
      </c>
      <c r="G131" s="483">
        <f t="shared" si="29"/>
        <v>454190.5</v>
      </c>
      <c r="H131" s="611">
        <f t="shared" si="30"/>
        <v>99518.605563357065</v>
      </c>
      <c r="I131" s="612">
        <f t="shared" si="31"/>
        <v>99518.605563357065</v>
      </c>
      <c r="J131" s="476">
        <f t="shared" ref="J131:J154" si="32">+I541-H541</f>
        <v>0</v>
      </c>
      <c r="K131" s="476"/>
      <c r="L131" s="485"/>
      <c r="M131" s="476">
        <f t="shared" ref="M131:M154" si="33">IF(L541&lt;&gt;0,+H541-L541,0)</f>
        <v>0</v>
      </c>
      <c r="N131" s="485"/>
      <c r="O131" s="476">
        <f t="shared" ref="O131:O154" si="34">IF(N541&lt;&gt;0,+I541-N541,0)</f>
        <v>0</v>
      </c>
      <c r="P131" s="476">
        <f t="shared" ref="P131:P154" si="35">+O541-M541</f>
        <v>0</v>
      </c>
    </row>
    <row r="132" spans="2:16">
      <c r="B132" s="160" t="str">
        <f t="shared" si="24"/>
        <v/>
      </c>
      <c r="C132" s="470">
        <f>IF(D93="","-",+C131+1)</f>
        <v>2051</v>
      </c>
      <c r="D132" s="345">
        <f>IF(F131+SUM(E$99:E131)=D$92,F131,D$92-SUM(E$99:E131))</f>
        <v>430273</v>
      </c>
      <c r="E132" s="482">
        <f t="shared" si="27"/>
        <v>47835</v>
      </c>
      <c r="F132" s="483">
        <f t="shared" si="28"/>
        <v>382438</v>
      </c>
      <c r="G132" s="483">
        <f t="shared" si="29"/>
        <v>406355.5</v>
      </c>
      <c r="H132" s="611">
        <f t="shared" si="30"/>
        <v>94075.327308696986</v>
      </c>
      <c r="I132" s="612">
        <f t="shared" si="31"/>
        <v>94075.327308696986</v>
      </c>
      <c r="J132" s="476">
        <f t="shared" si="32"/>
        <v>0</v>
      </c>
      <c r="K132" s="476"/>
      <c r="L132" s="485"/>
      <c r="M132" s="476">
        <f t="shared" si="33"/>
        <v>0</v>
      </c>
      <c r="N132" s="485"/>
      <c r="O132" s="476">
        <f t="shared" si="34"/>
        <v>0</v>
      </c>
      <c r="P132" s="476">
        <f t="shared" si="35"/>
        <v>0</v>
      </c>
    </row>
    <row r="133" spans="2:16">
      <c r="B133" s="160" t="str">
        <f t="shared" si="24"/>
        <v/>
      </c>
      <c r="C133" s="470">
        <f>IF(D93="","-",+C132+1)</f>
        <v>2052</v>
      </c>
      <c r="D133" s="345">
        <f>IF(F132+SUM(E$99:E132)=D$92,F132,D$92-SUM(E$99:E132))</f>
        <v>382438</v>
      </c>
      <c r="E133" s="482">
        <f t="shared" si="27"/>
        <v>47835</v>
      </c>
      <c r="F133" s="483">
        <f t="shared" si="28"/>
        <v>334603</v>
      </c>
      <c r="G133" s="483">
        <f t="shared" si="29"/>
        <v>358520.5</v>
      </c>
      <c r="H133" s="611">
        <f t="shared" si="30"/>
        <v>88632.049054036921</v>
      </c>
      <c r="I133" s="612">
        <f t="shared" si="31"/>
        <v>88632.049054036921</v>
      </c>
      <c r="J133" s="476">
        <f t="shared" si="32"/>
        <v>0</v>
      </c>
      <c r="K133" s="476"/>
      <c r="L133" s="485"/>
      <c r="M133" s="476">
        <f t="shared" si="33"/>
        <v>0</v>
      </c>
      <c r="N133" s="485"/>
      <c r="O133" s="476">
        <f t="shared" si="34"/>
        <v>0</v>
      </c>
      <c r="P133" s="476">
        <f t="shared" si="35"/>
        <v>0</v>
      </c>
    </row>
    <row r="134" spans="2:16">
      <c r="B134" s="160" t="str">
        <f t="shared" si="24"/>
        <v/>
      </c>
      <c r="C134" s="470">
        <f>IF(D93="","-",+C133+1)</f>
        <v>2053</v>
      </c>
      <c r="D134" s="345">
        <f>IF(F133+SUM(E$99:E133)=D$92,F133,D$92-SUM(E$99:E133))</f>
        <v>334603</v>
      </c>
      <c r="E134" s="482">
        <f t="shared" si="27"/>
        <v>47835</v>
      </c>
      <c r="F134" s="483">
        <f t="shared" si="28"/>
        <v>286768</v>
      </c>
      <c r="G134" s="483">
        <f t="shared" si="29"/>
        <v>310685.5</v>
      </c>
      <c r="H134" s="611">
        <f t="shared" si="30"/>
        <v>83188.770799376856</v>
      </c>
      <c r="I134" s="612">
        <f t="shared" si="31"/>
        <v>83188.770799376856</v>
      </c>
      <c r="J134" s="476">
        <f t="shared" si="32"/>
        <v>0</v>
      </c>
      <c r="K134" s="476"/>
      <c r="L134" s="485"/>
      <c r="M134" s="476">
        <f t="shared" si="33"/>
        <v>0</v>
      </c>
      <c r="N134" s="485"/>
      <c r="O134" s="476">
        <f t="shared" si="34"/>
        <v>0</v>
      </c>
      <c r="P134" s="476">
        <f t="shared" si="35"/>
        <v>0</v>
      </c>
    </row>
    <row r="135" spans="2:16">
      <c r="B135" s="160" t="str">
        <f t="shared" si="24"/>
        <v/>
      </c>
      <c r="C135" s="470">
        <f>IF(D93="","-",+C134+1)</f>
        <v>2054</v>
      </c>
      <c r="D135" s="345">
        <f>IF(F134+SUM(E$99:E134)=D$92,F134,D$92-SUM(E$99:E134))</f>
        <v>286768</v>
      </c>
      <c r="E135" s="482">
        <f t="shared" si="27"/>
        <v>47835</v>
      </c>
      <c r="F135" s="483">
        <f t="shared" si="28"/>
        <v>238933</v>
      </c>
      <c r="G135" s="483">
        <f t="shared" si="29"/>
        <v>262850.5</v>
      </c>
      <c r="H135" s="611">
        <f t="shared" si="30"/>
        <v>77745.492544716777</v>
      </c>
      <c r="I135" s="612">
        <f t="shared" si="31"/>
        <v>77745.492544716777</v>
      </c>
      <c r="J135" s="476">
        <f t="shared" si="32"/>
        <v>0</v>
      </c>
      <c r="K135" s="476"/>
      <c r="L135" s="485"/>
      <c r="M135" s="476">
        <f t="shared" si="33"/>
        <v>0</v>
      </c>
      <c r="N135" s="485"/>
      <c r="O135" s="476">
        <f t="shared" si="34"/>
        <v>0</v>
      </c>
      <c r="P135" s="476">
        <f t="shared" si="35"/>
        <v>0</v>
      </c>
    </row>
    <row r="136" spans="2:16">
      <c r="B136" s="160" t="str">
        <f t="shared" si="24"/>
        <v/>
      </c>
      <c r="C136" s="470">
        <f>IF(D93="","-",+C135+1)</f>
        <v>2055</v>
      </c>
      <c r="D136" s="345">
        <f>IF(F135+SUM(E$99:E135)=D$92,F135,D$92-SUM(E$99:E135))</f>
        <v>238933</v>
      </c>
      <c r="E136" s="482">
        <f t="shared" si="27"/>
        <v>47835</v>
      </c>
      <c r="F136" s="483">
        <f t="shared" si="28"/>
        <v>191098</v>
      </c>
      <c r="G136" s="483">
        <f t="shared" si="29"/>
        <v>215015.5</v>
      </c>
      <c r="H136" s="611">
        <f t="shared" si="30"/>
        <v>72302.214290056698</v>
      </c>
      <c r="I136" s="612">
        <f t="shared" si="31"/>
        <v>72302.214290056698</v>
      </c>
      <c r="J136" s="476">
        <f t="shared" si="32"/>
        <v>0</v>
      </c>
      <c r="K136" s="476"/>
      <c r="L136" s="485"/>
      <c r="M136" s="476">
        <f t="shared" si="33"/>
        <v>0</v>
      </c>
      <c r="N136" s="485"/>
      <c r="O136" s="476">
        <f t="shared" si="34"/>
        <v>0</v>
      </c>
      <c r="P136" s="476">
        <f t="shared" si="35"/>
        <v>0</v>
      </c>
    </row>
    <row r="137" spans="2:16">
      <c r="B137" s="160" t="str">
        <f t="shared" si="24"/>
        <v/>
      </c>
      <c r="C137" s="470">
        <f>IF(D93="","-",+C136+1)</f>
        <v>2056</v>
      </c>
      <c r="D137" s="345">
        <f>IF(F136+SUM(E$99:E136)=D$92,F136,D$92-SUM(E$99:E136))</f>
        <v>191098</v>
      </c>
      <c r="E137" s="482">
        <f t="shared" si="27"/>
        <v>47835</v>
      </c>
      <c r="F137" s="483">
        <f t="shared" si="28"/>
        <v>143263</v>
      </c>
      <c r="G137" s="483">
        <f t="shared" si="29"/>
        <v>167180.5</v>
      </c>
      <c r="H137" s="611">
        <f t="shared" si="30"/>
        <v>66858.936035396633</v>
      </c>
      <c r="I137" s="612">
        <f t="shared" si="31"/>
        <v>66858.936035396633</v>
      </c>
      <c r="J137" s="476">
        <f t="shared" si="32"/>
        <v>0</v>
      </c>
      <c r="K137" s="476"/>
      <c r="L137" s="485"/>
      <c r="M137" s="476">
        <f t="shared" si="33"/>
        <v>0</v>
      </c>
      <c r="N137" s="485"/>
      <c r="O137" s="476">
        <f t="shared" si="34"/>
        <v>0</v>
      </c>
      <c r="P137" s="476">
        <f t="shared" si="35"/>
        <v>0</v>
      </c>
    </row>
    <row r="138" spans="2:16">
      <c r="B138" s="160" t="str">
        <f t="shared" si="24"/>
        <v/>
      </c>
      <c r="C138" s="470">
        <f>IF(D93="","-",+C137+1)</f>
        <v>2057</v>
      </c>
      <c r="D138" s="345">
        <f>IF(F137+SUM(E$99:E137)=D$92,F137,D$92-SUM(E$99:E137))</f>
        <v>143263</v>
      </c>
      <c r="E138" s="482">
        <f t="shared" si="27"/>
        <v>47835</v>
      </c>
      <c r="F138" s="483">
        <f t="shared" si="28"/>
        <v>95428</v>
      </c>
      <c r="G138" s="483">
        <f t="shared" si="29"/>
        <v>119345.5</v>
      </c>
      <c r="H138" s="611">
        <f t="shared" si="30"/>
        <v>61415.657780736561</v>
      </c>
      <c r="I138" s="612">
        <f t="shared" si="31"/>
        <v>61415.657780736561</v>
      </c>
      <c r="J138" s="476">
        <f t="shared" si="32"/>
        <v>0</v>
      </c>
      <c r="K138" s="476"/>
      <c r="L138" s="485"/>
      <c r="M138" s="476">
        <f t="shared" si="33"/>
        <v>0</v>
      </c>
      <c r="N138" s="485"/>
      <c r="O138" s="476">
        <f t="shared" si="34"/>
        <v>0</v>
      </c>
      <c r="P138" s="476">
        <f t="shared" si="35"/>
        <v>0</v>
      </c>
    </row>
    <row r="139" spans="2:16">
      <c r="B139" s="160" t="str">
        <f t="shared" si="24"/>
        <v/>
      </c>
      <c r="C139" s="470">
        <f>IF(D93="","-",+C138+1)</f>
        <v>2058</v>
      </c>
      <c r="D139" s="345">
        <f>IF(F138+SUM(E$99:E138)=D$92,F138,D$92-SUM(E$99:E138))</f>
        <v>95428</v>
      </c>
      <c r="E139" s="482">
        <f t="shared" si="27"/>
        <v>47835</v>
      </c>
      <c r="F139" s="483">
        <f t="shared" si="28"/>
        <v>47593</v>
      </c>
      <c r="G139" s="483">
        <f t="shared" si="29"/>
        <v>71510.5</v>
      </c>
      <c r="H139" s="611">
        <f t="shared" si="30"/>
        <v>55972.379526076489</v>
      </c>
      <c r="I139" s="612">
        <f t="shared" si="31"/>
        <v>55972.379526076489</v>
      </c>
      <c r="J139" s="476">
        <f t="shared" si="32"/>
        <v>0</v>
      </c>
      <c r="K139" s="476"/>
      <c r="L139" s="485"/>
      <c r="M139" s="476">
        <f t="shared" si="33"/>
        <v>0</v>
      </c>
      <c r="N139" s="485"/>
      <c r="O139" s="476">
        <f t="shared" si="34"/>
        <v>0</v>
      </c>
      <c r="P139" s="476">
        <f t="shared" si="35"/>
        <v>0</v>
      </c>
    </row>
    <row r="140" spans="2:16">
      <c r="B140" s="160" t="str">
        <f t="shared" si="24"/>
        <v/>
      </c>
      <c r="C140" s="470">
        <f>IF(D93="","-",+C139+1)</f>
        <v>2059</v>
      </c>
      <c r="D140" s="345">
        <f>IF(F139+SUM(E$99:E139)=D$92,F139,D$92-SUM(E$99:E139))</f>
        <v>47593</v>
      </c>
      <c r="E140" s="482">
        <f t="shared" si="27"/>
        <v>47593</v>
      </c>
      <c r="F140" s="483">
        <f t="shared" si="28"/>
        <v>0</v>
      </c>
      <c r="G140" s="483">
        <f t="shared" si="29"/>
        <v>23796.5</v>
      </c>
      <c r="H140" s="611">
        <f t="shared" si="30"/>
        <v>50300.870199373225</v>
      </c>
      <c r="I140" s="612">
        <f t="shared" si="31"/>
        <v>50300.870199373225</v>
      </c>
      <c r="J140" s="476">
        <f t="shared" si="32"/>
        <v>0</v>
      </c>
      <c r="K140" s="476"/>
      <c r="L140" s="485"/>
      <c r="M140" s="476">
        <f t="shared" si="33"/>
        <v>0</v>
      </c>
      <c r="N140" s="485"/>
      <c r="O140" s="476">
        <f t="shared" si="34"/>
        <v>0</v>
      </c>
      <c r="P140" s="476">
        <f t="shared" si="35"/>
        <v>0</v>
      </c>
    </row>
    <row r="141" spans="2:16">
      <c r="B141" s="160" t="str">
        <f t="shared" si="24"/>
        <v/>
      </c>
      <c r="C141" s="470">
        <f>IF(D93="","-",+C140+1)</f>
        <v>2060</v>
      </c>
      <c r="D141" s="345">
        <f>IF(F140+SUM(E$99:E140)=D$92,F140,D$92-SUM(E$99:E140))</f>
        <v>0</v>
      </c>
      <c r="E141" s="482">
        <f t="shared" si="27"/>
        <v>0</v>
      </c>
      <c r="F141" s="483">
        <f t="shared" si="28"/>
        <v>0</v>
      </c>
      <c r="G141" s="483">
        <f t="shared" si="29"/>
        <v>0</v>
      </c>
      <c r="H141" s="611">
        <f t="shared" si="30"/>
        <v>0</v>
      </c>
      <c r="I141" s="612">
        <f t="shared" si="31"/>
        <v>0</v>
      </c>
      <c r="J141" s="476">
        <f t="shared" si="32"/>
        <v>0</v>
      </c>
      <c r="K141" s="476"/>
      <c r="L141" s="485"/>
      <c r="M141" s="476">
        <f t="shared" si="33"/>
        <v>0</v>
      </c>
      <c r="N141" s="485"/>
      <c r="O141" s="476">
        <f t="shared" si="34"/>
        <v>0</v>
      </c>
      <c r="P141" s="476">
        <f t="shared" si="35"/>
        <v>0</v>
      </c>
    </row>
    <row r="142" spans="2:16">
      <c r="B142" s="160" t="str">
        <f t="shared" si="24"/>
        <v/>
      </c>
      <c r="C142" s="470">
        <f>IF(D93="","-",+C141+1)</f>
        <v>2061</v>
      </c>
      <c r="D142" s="345">
        <f>IF(F141+SUM(E$99:E141)=D$92,F141,D$92-SUM(E$99:E141))</f>
        <v>0</v>
      </c>
      <c r="E142" s="482">
        <f t="shared" si="27"/>
        <v>0</v>
      </c>
      <c r="F142" s="483">
        <f t="shared" si="28"/>
        <v>0</v>
      </c>
      <c r="G142" s="483">
        <f t="shared" si="29"/>
        <v>0</v>
      </c>
      <c r="H142" s="611">
        <f t="shared" si="30"/>
        <v>0</v>
      </c>
      <c r="I142" s="612">
        <f t="shared" si="31"/>
        <v>0</v>
      </c>
      <c r="J142" s="476">
        <f t="shared" si="32"/>
        <v>0</v>
      </c>
      <c r="K142" s="476"/>
      <c r="L142" s="485"/>
      <c r="M142" s="476">
        <f t="shared" si="33"/>
        <v>0</v>
      </c>
      <c r="N142" s="485"/>
      <c r="O142" s="476">
        <f t="shared" si="34"/>
        <v>0</v>
      </c>
      <c r="P142" s="476">
        <f t="shared" si="35"/>
        <v>0</v>
      </c>
    </row>
    <row r="143" spans="2:16">
      <c r="B143" s="160" t="str">
        <f t="shared" si="24"/>
        <v/>
      </c>
      <c r="C143" s="470">
        <f>IF(D93="","-",+C142+1)</f>
        <v>2062</v>
      </c>
      <c r="D143" s="345">
        <f>IF(F142+SUM(E$99:E142)=D$92,F142,D$92-SUM(E$99:E142))</f>
        <v>0</v>
      </c>
      <c r="E143" s="482">
        <f t="shared" si="27"/>
        <v>0</v>
      </c>
      <c r="F143" s="483">
        <f t="shared" si="28"/>
        <v>0</v>
      </c>
      <c r="G143" s="483">
        <f t="shared" si="29"/>
        <v>0</v>
      </c>
      <c r="H143" s="611">
        <f t="shared" si="30"/>
        <v>0</v>
      </c>
      <c r="I143" s="612">
        <f t="shared" si="31"/>
        <v>0</v>
      </c>
      <c r="J143" s="476">
        <f t="shared" si="32"/>
        <v>0</v>
      </c>
      <c r="K143" s="476"/>
      <c r="L143" s="485"/>
      <c r="M143" s="476">
        <f t="shared" si="33"/>
        <v>0</v>
      </c>
      <c r="N143" s="485"/>
      <c r="O143" s="476">
        <f t="shared" si="34"/>
        <v>0</v>
      </c>
      <c r="P143" s="476">
        <f t="shared" si="35"/>
        <v>0</v>
      </c>
    </row>
    <row r="144" spans="2:16">
      <c r="B144" s="160" t="str">
        <f t="shared" si="24"/>
        <v/>
      </c>
      <c r="C144" s="470">
        <f>IF(D93="","-",+C143+1)</f>
        <v>2063</v>
      </c>
      <c r="D144" s="345">
        <f>IF(F143+SUM(E$99:E143)=D$92,F143,D$92-SUM(E$99:E143))</f>
        <v>0</v>
      </c>
      <c r="E144" s="482">
        <f t="shared" si="27"/>
        <v>0</v>
      </c>
      <c r="F144" s="483">
        <f t="shared" si="28"/>
        <v>0</v>
      </c>
      <c r="G144" s="483">
        <f t="shared" si="29"/>
        <v>0</v>
      </c>
      <c r="H144" s="611">
        <f t="shared" si="30"/>
        <v>0</v>
      </c>
      <c r="I144" s="612">
        <f t="shared" si="31"/>
        <v>0</v>
      </c>
      <c r="J144" s="476">
        <f t="shared" si="32"/>
        <v>0</v>
      </c>
      <c r="K144" s="476"/>
      <c r="L144" s="485"/>
      <c r="M144" s="476">
        <f t="shared" si="33"/>
        <v>0</v>
      </c>
      <c r="N144" s="485"/>
      <c r="O144" s="476">
        <f t="shared" si="34"/>
        <v>0</v>
      </c>
      <c r="P144" s="476">
        <f t="shared" si="35"/>
        <v>0</v>
      </c>
    </row>
    <row r="145" spans="2:16">
      <c r="B145" s="160" t="str">
        <f t="shared" si="24"/>
        <v/>
      </c>
      <c r="C145" s="470">
        <f>IF(D93="","-",+C144+1)</f>
        <v>2064</v>
      </c>
      <c r="D145" s="345">
        <f>IF(F144+SUM(E$99:E144)=D$92,F144,D$92-SUM(E$99:E144))</f>
        <v>0</v>
      </c>
      <c r="E145" s="482">
        <f t="shared" si="27"/>
        <v>0</v>
      </c>
      <c r="F145" s="483">
        <f t="shared" si="28"/>
        <v>0</v>
      </c>
      <c r="G145" s="483">
        <f t="shared" si="29"/>
        <v>0</v>
      </c>
      <c r="H145" s="611">
        <f t="shared" si="30"/>
        <v>0</v>
      </c>
      <c r="I145" s="612">
        <f t="shared" si="31"/>
        <v>0</v>
      </c>
      <c r="J145" s="476">
        <f t="shared" si="32"/>
        <v>0</v>
      </c>
      <c r="K145" s="476"/>
      <c r="L145" s="485"/>
      <c r="M145" s="476">
        <f t="shared" si="33"/>
        <v>0</v>
      </c>
      <c r="N145" s="485"/>
      <c r="O145" s="476">
        <f t="shared" si="34"/>
        <v>0</v>
      </c>
      <c r="P145" s="476">
        <f t="shared" si="35"/>
        <v>0</v>
      </c>
    </row>
    <row r="146" spans="2:16">
      <c r="B146" s="160" t="str">
        <f t="shared" si="24"/>
        <v/>
      </c>
      <c r="C146" s="470">
        <f>IF(D93="","-",+C145+1)</f>
        <v>2065</v>
      </c>
      <c r="D146" s="345">
        <f>IF(F145+SUM(E$99:E145)=D$92,F145,D$92-SUM(E$99:E145))</f>
        <v>0</v>
      </c>
      <c r="E146" s="482">
        <f t="shared" si="27"/>
        <v>0</v>
      </c>
      <c r="F146" s="483">
        <f t="shared" si="28"/>
        <v>0</v>
      </c>
      <c r="G146" s="483">
        <f t="shared" si="29"/>
        <v>0</v>
      </c>
      <c r="H146" s="611">
        <f t="shared" si="30"/>
        <v>0</v>
      </c>
      <c r="I146" s="612">
        <f t="shared" si="31"/>
        <v>0</v>
      </c>
      <c r="J146" s="476">
        <f t="shared" si="32"/>
        <v>0</v>
      </c>
      <c r="K146" s="476"/>
      <c r="L146" s="485"/>
      <c r="M146" s="476">
        <f t="shared" si="33"/>
        <v>0</v>
      </c>
      <c r="N146" s="485"/>
      <c r="O146" s="476">
        <f t="shared" si="34"/>
        <v>0</v>
      </c>
      <c r="P146" s="476">
        <f t="shared" si="35"/>
        <v>0</v>
      </c>
    </row>
    <row r="147" spans="2:16">
      <c r="B147" s="160" t="str">
        <f t="shared" si="24"/>
        <v/>
      </c>
      <c r="C147" s="470">
        <f>IF(D93="","-",+C146+1)</f>
        <v>2066</v>
      </c>
      <c r="D147" s="345">
        <f>IF(F146+SUM(E$99:E146)=D$92,F146,D$92-SUM(E$99:E146))</f>
        <v>0</v>
      </c>
      <c r="E147" s="482">
        <f t="shared" si="27"/>
        <v>0</v>
      </c>
      <c r="F147" s="483">
        <f t="shared" si="28"/>
        <v>0</v>
      </c>
      <c r="G147" s="483">
        <f t="shared" si="29"/>
        <v>0</v>
      </c>
      <c r="H147" s="611">
        <f t="shared" si="30"/>
        <v>0</v>
      </c>
      <c r="I147" s="612">
        <f t="shared" si="31"/>
        <v>0</v>
      </c>
      <c r="J147" s="476">
        <f t="shared" si="32"/>
        <v>0</v>
      </c>
      <c r="K147" s="476"/>
      <c r="L147" s="485"/>
      <c r="M147" s="476">
        <f t="shared" si="33"/>
        <v>0</v>
      </c>
      <c r="N147" s="485"/>
      <c r="O147" s="476">
        <f t="shared" si="34"/>
        <v>0</v>
      </c>
      <c r="P147" s="476">
        <f t="shared" si="35"/>
        <v>0</v>
      </c>
    </row>
    <row r="148" spans="2:16">
      <c r="B148" s="160" t="str">
        <f t="shared" si="24"/>
        <v/>
      </c>
      <c r="C148" s="470">
        <f>IF(D93="","-",+C147+1)</f>
        <v>2067</v>
      </c>
      <c r="D148" s="345">
        <f>IF(F147+SUM(E$99:E147)=D$92,F147,D$92-SUM(E$99:E147))</f>
        <v>0</v>
      </c>
      <c r="E148" s="482">
        <f t="shared" si="27"/>
        <v>0</v>
      </c>
      <c r="F148" s="483">
        <f t="shared" si="28"/>
        <v>0</v>
      </c>
      <c r="G148" s="483">
        <f t="shared" si="29"/>
        <v>0</v>
      </c>
      <c r="H148" s="611">
        <f t="shared" si="30"/>
        <v>0</v>
      </c>
      <c r="I148" s="612">
        <f t="shared" si="31"/>
        <v>0</v>
      </c>
      <c r="J148" s="476">
        <f t="shared" si="32"/>
        <v>0</v>
      </c>
      <c r="K148" s="476"/>
      <c r="L148" s="485"/>
      <c r="M148" s="476">
        <f t="shared" si="33"/>
        <v>0</v>
      </c>
      <c r="N148" s="485"/>
      <c r="O148" s="476">
        <f t="shared" si="34"/>
        <v>0</v>
      </c>
      <c r="P148" s="476">
        <f t="shared" si="35"/>
        <v>0</v>
      </c>
    </row>
    <row r="149" spans="2:16">
      <c r="B149" s="160" t="str">
        <f t="shared" si="24"/>
        <v/>
      </c>
      <c r="C149" s="470">
        <f>IF(D93="","-",+C148+1)</f>
        <v>2068</v>
      </c>
      <c r="D149" s="345">
        <f>IF(F148+SUM(E$99:E148)=D$92,F148,D$92-SUM(E$99:E148))</f>
        <v>0</v>
      </c>
      <c r="E149" s="482">
        <f t="shared" si="27"/>
        <v>0</v>
      </c>
      <c r="F149" s="483">
        <f t="shared" si="28"/>
        <v>0</v>
      </c>
      <c r="G149" s="483">
        <f t="shared" si="29"/>
        <v>0</v>
      </c>
      <c r="H149" s="611">
        <f t="shared" si="30"/>
        <v>0</v>
      </c>
      <c r="I149" s="612">
        <f t="shared" si="31"/>
        <v>0</v>
      </c>
      <c r="J149" s="476">
        <f t="shared" si="32"/>
        <v>0</v>
      </c>
      <c r="K149" s="476"/>
      <c r="L149" s="485"/>
      <c r="M149" s="476">
        <f t="shared" si="33"/>
        <v>0</v>
      </c>
      <c r="N149" s="485"/>
      <c r="O149" s="476">
        <f t="shared" si="34"/>
        <v>0</v>
      </c>
      <c r="P149" s="476">
        <f t="shared" si="35"/>
        <v>0</v>
      </c>
    </row>
    <row r="150" spans="2:16">
      <c r="B150" s="160" t="str">
        <f t="shared" si="24"/>
        <v/>
      </c>
      <c r="C150" s="470">
        <f>IF(D93="","-",+C149+1)</f>
        <v>2069</v>
      </c>
      <c r="D150" s="345">
        <f>IF(F149+SUM(E$99:E149)=D$92,F149,D$92-SUM(E$99:E149))</f>
        <v>0</v>
      </c>
      <c r="E150" s="482">
        <f t="shared" si="27"/>
        <v>0</v>
      </c>
      <c r="F150" s="483">
        <f t="shared" si="28"/>
        <v>0</v>
      </c>
      <c r="G150" s="483">
        <f t="shared" si="29"/>
        <v>0</v>
      </c>
      <c r="H150" s="611">
        <f t="shared" si="30"/>
        <v>0</v>
      </c>
      <c r="I150" s="612">
        <f t="shared" si="31"/>
        <v>0</v>
      </c>
      <c r="J150" s="476">
        <f t="shared" si="32"/>
        <v>0</v>
      </c>
      <c r="K150" s="476"/>
      <c r="L150" s="485"/>
      <c r="M150" s="476">
        <f t="shared" si="33"/>
        <v>0</v>
      </c>
      <c r="N150" s="485"/>
      <c r="O150" s="476">
        <f t="shared" si="34"/>
        <v>0</v>
      </c>
      <c r="P150" s="476">
        <f t="shared" si="35"/>
        <v>0</v>
      </c>
    </row>
    <row r="151" spans="2:16">
      <c r="B151" s="160" t="str">
        <f t="shared" si="24"/>
        <v/>
      </c>
      <c r="C151" s="470">
        <f>IF(D93="","-",+C150+1)</f>
        <v>2070</v>
      </c>
      <c r="D151" s="345">
        <f>IF(F150+SUM(E$99:E150)=D$92,F150,D$92-SUM(E$99:E150))</f>
        <v>0</v>
      </c>
      <c r="E151" s="482">
        <f t="shared" si="27"/>
        <v>0</v>
      </c>
      <c r="F151" s="483">
        <f t="shared" si="28"/>
        <v>0</v>
      </c>
      <c r="G151" s="483">
        <f t="shared" si="29"/>
        <v>0</v>
      </c>
      <c r="H151" s="611">
        <f t="shared" si="30"/>
        <v>0</v>
      </c>
      <c r="I151" s="612">
        <f t="shared" si="31"/>
        <v>0</v>
      </c>
      <c r="J151" s="476">
        <f t="shared" si="32"/>
        <v>0</v>
      </c>
      <c r="K151" s="476"/>
      <c r="L151" s="485"/>
      <c r="M151" s="476">
        <f t="shared" si="33"/>
        <v>0</v>
      </c>
      <c r="N151" s="485"/>
      <c r="O151" s="476">
        <f t="shared" si="34"/>
        <v>0</v>
      </c>
      <c r="P151" s="476">
        <f t="shared" si="35"/>
        <v>0</v>
      </c>
    </row>
    <row r="152" spans="2:16">
      <c r="B152" s="160" t="str">
        <f t="shared" si="24"/>
        <v/>
      </c>
      <c r="C152" s="470">
        <f>IF(D93="","-",+C151+1)</f>
        <v>2071</v>
      </c>
      <c r="D152" s="345">
        <f>IF(F151+SUM(E$99:E151)=D$92,F151,D$92-SUM(E$99:E151))</f>
        <v>0</v>
      </c>
      <c r="E152" s="482">
        <f t="shared" si="27"/>
        <v>0</v>
      </c>
      <c r="F152" s="483">
        <f t="shared" si="28"/>
        <v>0</v>
      </c>
      <c r="G152" s="483">
        <f t="shared" si="29"/>
        <v>0</v>
      </c>
      <c r="H152" s="611">
        <f t="shared" si="30"/>
        <v>0</v>
      </c>
      <c r="I152" s="612">
        <f t="shared" si="31"/>
        <v>0</v>
      </c>
      <c r="J152" s="476">
        <f t="shared" si="32"/>
        <v>0</v>
      </c>
      <c r="K152" s="476"/>
      <c r="L152" s="485"/>
      <c r="M152" s="476">
        <f t="shared" si="33"/>
        <v>0</v>
      </c>
      <c r="N152" s="485"/>
      <c r="O152" s="476">
        <f t="shared" si="34"/>
        <v>0</v>
      </c>
      <c r="P152" s="476">
        <f t="shared" si="35"/>
        <v>0</v>
      </c>
    </row>
    <row r="153" spans="2:16">
      <c r="B153" s="160" t="str">
        <f t="shared" si="24"/>
        <v/>
      </c>
      <c r="C153" s="470">
        <f>IF(D93="","-",+C152+1)</f>
        <v>2072</v>
      </c>
      <c r="D153" s="345">
        <f>IF(F152+SUM(E$99:E152)=D$92,F152,D$92-SUM(E$99:E152))</f>
        <v>0</v>
      </c>
      <c r="E153" s="482">
        <f t="shared" si="27"/>
        <v>0</v>
      </c>
      <c r="F153" s="483">
        <f t="shared" si="28"/>
        <v>0</v>
      </c>
      <c r="G153" s="483">
        <f t="shared" si="29"/>
        <v>0</v>
      </c>
      <c r="H153" s="611">
        <f t="shared" si="30"/>
        <v>0</v>
      </c>
      <c r="I153" s="612">
        <f t="shared" si="31"/>
        <v>0</v>
      </c>
      <c r="J153" s="476">
        <f t="shared" si="32"/>
        <v>0</v>
      </c>
      <c r="K153" s="476"/>
      <c r="L153" s="485"/>
      <c r="M153" s="476">
        <f t="shared" si="33"/>
        <v>0</v>
      </c>
      <c r="N153" s="485"/>
      <c r="O153" s="476">
        <f t="shared" si="34"/>
        <v>0</v>
      </c>
      <c r="P153" s="476">
        <f t="shared" si="35"/>
        <v>0</v>
      </c>
    </row>
    <row r="154" spans="2:16" ht="13.5" thickBot="1">
      <c r="B154" s="160" t="str">
        <f t="shared" si="24"/>
        <v/>
      </c>
      <c r="C154" s="487">
        <f>IF(D93="","-",+C153+1)</f>
        <v>2073</v>
      </c>
      <c r="D154" s="541">
        <f>IF(F153+SUM(E$99:E153)=D$92,F153,D$92-SUM(E$99:E153))</f>
        <v>0</v>
      </c>
      <c r="E154" s="489">
        <f t="shared" si="27"/>
        <v>0</v>
      </c>
      <c r="F154" s="488">
        <f t="shared" si="28"/>
        <v>0</v>
      </c>
      <c r="G154" s="488">
        <f t="shared" si="29"/>
        <v>0</v>
      </c>
      <c r="H154" s="613">
        <f t="shared" si="30"/>
        <v>0</v>
      </c>
      <c r="I154" s="614">
        <f t="shared" si="31"/>
        <v>0</v>
      </c>
      <c r="J154" s="493">
        <f t="shared" si="32"/>
        <v>0</v>
      </c>
      <c r="K154" s="476"/>
      <c r="L154" s="492"/>
      <c r="M154" s="493">
        <f t="shared" si="33"/>
        <v>0</v>
      </c>
      <c r="N154" s="492"/>
      <c r="O154" s="493">
        <f t="shared" si="34"/>
        <v>0</v>
      </c>
      <c r="P154" s="493">
        <f t="shared" si="35"/>
        <v>0</v>
      </c>
    </row>
    <row r="155" spans="2:16">
      <c r="C155" s="345" t="s">
        <v>77</v>
      </c>
      <c r="D155" s="346"/>
      <c r="E155" s="346">
        <f>SUM(E99:E154)</f>
        <v>1961221</v>
      </c>
      <c r="F155" s="346"/>
      <c r="G155" s="346"/>
      <c r="H155" s="346">
        <f>SUM(H99:H154)</f>
        <v>6583761.0295337606</v>
      </c>
      <c r="I155" s="346">
        <f>SUM(I99:I154)</f>
        <v>6583761.0295337606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29" priority="1" stopIfTrue="1" operator="equal">
      <formula>$I$10</formula>
    </cfRule>
  </conditionalFormatting>
  <conditionalFormatting sqref="C99:C154">
    <cfRule type="cellIs" dxfId="28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70"/>
  <dimension ref="A1:P162"/>
  <sheetViews>
    <sheetView topLeftCell="A85" zoomScaleNormal="100" zoomScaleSheetLayoutView="78" workbookViewId="0">
      <selection activeCell="D99" sqref="D99:I104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21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40482.116861943046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40482.116861943046</v>
      </c>
      <c r="O6" s="231"/>
      <c r="P6" s="231"/>
    </row>
    <row r="7" spans="1:16" ht="13.5" thickBot="1">
      <c r="C7" s="429" t="s">
        <v>46</v>
      </c>
      <c r="D7" s="597" t="s">
        <v>279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299</v>
      </c>
      <c r="E9" s="575" t="s">
        <v>300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330872.36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2017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6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8707.1673684210527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2017</v>
      </c>
      <c r="D17" s="582">
        <v>0</v>
      </c>
      <c r="E17" s="606">
        <v>2847.8260869565215</v>
      </c>
      <c r="F17" s="582">
        <v>259152.17391304349</v>
      </c>
      <c r="G17" s="606">
        <v>19337.763747649027</v>
      </c>
      <c r="H17" s="585">
        <v>19337.763747649027</v>
      </c>
      <c r="I17" s="473">
        <f t="shared" ref="I17:I72" si="0">H17-G17</f>
        <v>0</v>
      </c>
      <c r="J17" s="473"/>
      <c r="K17" s="475">
        <f t="shared" ref="K17:K22" si="1">+G17</f>
        <v>19337.763747649027</v>
      </c>
      <c r="L17" s="475">
        <f t="shared" ref="L17:L72" si="2">IF(K17&lt;&gt;0,+G17-K17,0)</f>
        <v>0</v>
      </c>
      <c r="M17" s="475">
        <f t="shared" ref="M17:M22" si="3">+H17</f>
        <v>19337.763747649027</v>
      </c>
      <c r="N17" s="475">
        <f t="shared" ref="N17:N72" si="4">IF(M17&lt;&gt;0,+H17-M17,0)</f>
        <v>0</v>
      </c>
      <c r="O17" s="476">
        <f t="shared" ref="O17:O72" si="5">+N17-L17</f>
        <v>0</v>
      </c>
      <c r="P17" s="241"/>
    </row>
    <row r="18" spans="2:16">
      <c r="B18" s="160" t="str">
        <f>IF(D18=F17,"","IU")</f>
        <v/>
      </c>
      <c r="C18" s="470">
        <f>IF(D11="","-",+C17+1)</f>
        <v>2018</v>
      </c>
      <c r="D18" s="582">
        <v>259152.17391304349</v>
      </c>
      <c r="E18" s="583">
        <v>5822.2222222222226</v>
      </c>
      <c r="F18" s="582">
        <v>253329.95169082127</v>
      </c>
      <c r="G18" s="583">
        <v>36509.380469214986</v>
      </c>
      <c r="H18" s="585">
        <v>36509.380469214986</v>
      </c>
      <c r="I18" s="473">
        <f t="shared" si="0"/>
        <v>0</v>
      </c>
      <c r="J18" s="473"/>
      <c r="K18" s="476">
        <f t="shared" si="1"/>
        <v>36509.380469214986</v>
      </c>
      <c r="L18" s="476">
        <f t="shared" si="2"/>
        <v>0</v>
      </c>
      <c r="M18" s="476">
        <f t="shared" si="3"/>
        <v>36509.380469214986</v>
      </c>
      <c r="N18" s="476">
        <f t="shared" si="4"/>
        <v>0</v>
      </c>
      <c r="O18" s="476">
        <f t="shared" si="5"/>
        <v>0</v>
      </c>
      <c r="P18" s="241"/>
    </row>
    <row r="19" spans="2:16">
      <c r="B19" s="160" t="str">
        <f>IF(D19=F18,"","IU")</f>
        <v/>
      </c>
      <c r="C19" s="470">
        <f>IF(D11="","-",+C18+1)</f>
        <v>2019</v>
      </c>
      <c r="D19" s="582">
        <v>253329.95169082127</v>
      </c>
      <c r="E19" s="583">
        <v>6550</v>
      </c>
      <c r="F19" s="582">
        <v>246779.95169082127</v>
      </c>
      <c r="G19" s="583">
        <v>34470.293545069071</v>
      </c>
      <c r="H19" s="585">
        <v>34470.293545069071</v>
      </c>
      <c r="I19" s="473">
        <f t="shared" si="0"/>
        <v>0</v>
      </c>
      <c r="J19" s="473"/>
      <c r="K19" s="476">
        <f t="shared" si="1"/>
        <v>34470.293545069071</v>
      </c>
      <c r="L19" s="476">
        <f t="shared" ref="L19" si="6">IF(K19&lt;&gt;0,+G19-K19,0)</f>
        <v>0</v>
      </c>
      <c r="M19" s="476">
        <f t="shared" si="3"/>
        <v>34470.293545069071</v>
      </c>
      <c r="N19" s="476">
        <f t="shared" si="4"/>
        <v>0</v>
      </c>
      <c r="O19" s="476">
        <f t="shared" si="5"/>
        <v>0</v>
      </c>
      <c r="P19" s="241"/>
    </row>
    <row r="20" spans="2:16">
      <c r="B20" s="160" t="str">
        <f t="shared" ref="B20:B72" si="7">IF(D20=F19,"","IU")</f>
        <v>IU</v>
      </c>
      <c r="C20" s="470">
        <f>IF(D11="","-",+C19+1)</f>
        <v>2020</v>
      </c>
      <c r="D20" s="582">
        <v>316379.72946859902</v>
      </c>
      <c r="E20" s="583">
        <v>7877.9047619047615</v>
      </c>
      <c r="F20" s="582">
        <v>308501.82470669429</v>
      </c>
      <c r="G20" s="583">
        <v>41623.00118882845</v>
      </c>
      <c r="H20" s="585">
        <v>41623.00118882845</v>
      </c>
      <c r="I20" s="473">
        <f t="shared" si="0"/>
        <v>0</v>
      </c>
      <c r="J20" s="473"/>
      <c r="K20" s="476">
        <f t="shared" si="1"/>
        <v>41623.00118882845</v>
      </c>
      <c r="L20" s="476">
        <f t="shared" ref="L20" si="8">IF(K20&lt;&gt;0,+G20-K20,0)</f>
        <v>0</v>
      </c>
      <c r="M20" s="476">
        <f t="shared" si="3"/>
        <v>41623.00118882845</v>
      </c>
      <c r="N20" s="476">
        <f t="shared" si="4"/>
        <v>0</v>
      </c>
      <c r="O20" s="476">
        <f t="shared" si="5"/>
        <v>0</v>
      </c>
      <c r="P20" s="241"/>
    </row>
    <row r="21" spans="2:16">
      <c r="B21" s="160" t="str">
        <f t="shared" si="7"/>
        <v>IU</v>
      </c>
      <c r="C21" s="470">
        <f>IF(D11="","-",+C20+1)</f>
        <v>2021</v>
      </c>
      <c r="D21" s="582">
        <v>307774.04692891648</v>
      </c>
      <c r="E21" s="583">
        <v>7694.6976744186049</v>
      </c>
      <c r="F21" s="582">
        <v>300079.34925449785</v>
      </c>
      <c r="G21" s="583">
        <v>40464.576318636115</v>
      </c>
      <c r="H21" s="585">
        <v>40464.576318636115</v>
      </c>
      <c r="I21" s="473">
        <f t="shared" si="0"/>
        <v>0</v>
      </c>
      <c r="J21" s="473"/>
      <c r="K21" s="476">
        <f t="shared" si="1"/>
        <v>40464.576318636115</v>
      </c>
      <c r="L21" s="476">
        <f t="shared" ref="L21" si="9">IF(K21&lt;&gt;0,+G21-K21,0)</f>
        <v>0</v>
      </c>
      <c r="M21" s="476">
        <f t="shared" si="3"/>
        <v>40464.576318636115</v>
      </c>
      <c r="N21" s="476">
        <f t="shared" si="4"/>
        <v>0</v>
      </c>
      <c r="O21" s="476">
        <f t="shared" si="5"/>
        <v>0</v>
      </c>
      <c r="P21" s="241"/>
    </row>
    <row r="22" spans="2:16">
      <c r="B22" s="160" t="str">
        <f t="shared" si="7"/>
        <v/>
      </c>
      <c r="C22" s="470">
        <f>IF(D11="","-",+C21+1)</f>
        <v>2022</v>
      </c>
      <c r="D22" s="582">
        <v>300079.34925449785</v>
      </c>
      <c r="E22" s="583">
        <v>7877.9047619047615</v>
      </c>
      <c r="F22" s="582">
        <v>292201.44449259312</v>
      </c>
      <c r="G22" s="583">
        <v>39805.169882695685</v>
      </c>
      <c r="H22" s="585">
        <v>39805.169882695685</v>
      </c>
      <c r="I22" s="473">
        <f t="shared" si="0"/>
        <v>0</v>
      </c>
      <c r="J22" s="473"/>
      <c r="K22" s="476">
        <f t="shared" si="1"/>
        <v>39805.169882695685</v>
      </c>
      <c r="L22" s="476">
        <f t="shared" ref="L22" si="10">IF(K22&lt;&gt;0,+G22-K22,0)</f>
        <v>0</v>
      </c>
      <c r="M22" s="476">
        <f t="shared" si="3"/>
        <v>39805.169882695685</v>
      </c>
      <c r="N22" s="476">
        <f t="shared" si="4"/>
        <v>0</v>
      </c>
      <c r="O22" s="476">
        <f t="shared" si="5"/>
        <v>0</v>
      </c>
      <c r="P22" s="241"/>
    </row>
    <row r="23" spans="2:16">
      <c r="B23" s="160" t="str">
        <f t="shared" si="7"/>
        <v>IU</v>
      </c>
      <c r="C23" s="470">
        <f>IF(D11="","-",+C22+1)</f>
        <v>2023</v>
      </c>
      <c r="D23" s="582">
        <v>292201.8044925931</v>
      </c>
      <c r="E23" s="583">
        <v>8483.9066666666658</v>
      </c>
      <c r="F23" s="582">
        <v>283717.89782592643</v>
      </c>
      <c r="G23" s="583">
        <v>42854.492332323091</v>
      </c>
      <c r="H23" s="585">
        <v>42854.492332323091</v>
      </c>
      <c r="I23" s="473">
        <f t="shared" si="0"/>
        <v>0</v>
      </c>
      <c r="J23" s="473"/>
      <c r="K23" s="476">
        <f t="shared" ref="K23" si="11">+G23</f>
        <v>42854.492332323091</v>
      </c>
      <c r="L23" s="476">
        <f t="shared" ref="L23" si="12">IF(K23&lt;&gt;0,+G23-K23,0)</f>
        <v>0</v>
      </c>
      <c r="M23" s="476">
        <f t="shared" ref="M23" si="13">+H23</f>
        <v>42854.492332323091</v>
      </c>
      <c r="N23" s="476">
        <f t="shared" ref="N23" si="14">IF(M23&lt;&gt;0,+H23-M23,0)</f>
        <v>0</v>
      </c>
      <c r="O23" s="476">
        <f t="shared" ref="O23" si="15">+N23-L23</f>
        <v>0</v>
      </c>
      <c r="P23" s="241"/>
    </row>
    <row r="24" spans="2:16">
      <c r="B24" s="160" t="str">
        <f t="shared" si="7"/>
        <v/>
      </c>
      <c r="C24" s="631">
        <f>IF(D11="","-",+C23+1)</f>
        <v>2024</v>
      </c>
      <c r="D24" s="481">
        <f>IF(F23+SUM(E$17:E23)=D$10,F23,D$10-SUM(E$17:E23))</f>
        <v>283717.89782592643</v>
      </c>
      <c r="E24" s="482">
        <f t="shared" ref="E24:E72" si="16">IF(+I$14&lt;F23,I$14,D24)</f>
        <v>8707.1673684210527</v>
      </c>
      <c r="F24" s="483">
        <f t="shared" ref="F24:F72" si="17">+D24-E24</f>
        <v>275010.73045750539</v>
      </c>
      <c r="G24" s="484">
        <f t="shared" ref="G24:G72" si="18">(D24+F24)/2*I$12+E24</f>
        <v>40482.116861943046</v>
      </c>
      <c r="H24" s="453">
        <f t="shared" ref="H24:H72" si="19">+(D24+F24)/2*I$13+E24</f>
        <v>40482.116861943046</v>
      </c>
      <c r="I24" s="473">
        <f t="shared" si="0"/>
        <v>0</v>
      </c>
      <c r="J24" s="473"/>
      <c r="K24" s="485"/>
      <c r="L24" s="476">
        <f t="shared" si="2"/>
        <v>0</v>
      </c>
      <c r="M24" s="485"/>
      <c r="N24" s="476">
        <f t="shared" si="4"/>
        <v>0</v>
      </c>
      <c r="O24" s="476">
        <f t="shared" si="5"/>
        <v>0</v>
      </c>
      <c r="P24" s="241"/>
    </row>
    <row r="25" spans="2:16">
      <c r="B25" s="160" t="str">
        <f t="shared" si="7"/>
        <v/>
      </c>
      <c r="C25" s="470">
        <f>IF(D11="","-",+C24+1)</f>
        <v>2025</v>
      </c>
      <c r="D25" s="481">
        <f>IF(F24+SUM(E$17:E24)=D$10,F24,D$10-SUM(E$17:E24))</f>
        <v>275010.73045750539</v>
      </c>
      <c r="E25" s="482">
        <f t="shared" si="16"/>
        <v>8707.1673684210527</v>
      </c>
      <c r="F25" s="483">
        <f t="shared" si="17"/>
        <v>266303.56308908435</v>
      </c>
      <c r="G25" s="484">
        <f t="shared" si="18"/>
        <v>39491.762012171966</v>
      </c>
      <c r="H25" s="453">
        <f t="shared" si="19"/>
        <v>39491.762012171966</v>
      </c>
      <c r="I25" s="473">
        <f t="shared" si="0"/>
        <v>0</v>
      </c>
      <c r="J25" s="473"/>
      <c r="K25" s="485"/>
      <c r="L25" s="476">
        <f t="shared" si="2"/>
        <v>0</v>
      </c>
      <c r="M25" s="485"/>
      <c r="N25" s="476">
        <f t="shared" si="4"/>
        <v>0</v>
      </c>
      <c r="O25" s="476">
        <f t="shared" si="5"/>
        <v>0</v>
      </c>
      <c r="P25" s="241"/>
    </row>
    <row r="26" spans="2:16">
      <c r="B26" s="160" t="str">
        <f t="shared" si="7"/>
        <v/>
      </c>
      <c r="C26" s="470">
        <f>IF(D11="","-",+C25+1)</f>
        <v>2026</v>
      </c>
      <c r="D26" s="481">
        <f>IF(F25+SUM(E$17:E25)=D$10,F25,D$10-SUM(E$17:E25))</f>
        <v>266303.56308908435</v>
      </c>
      <c r="E26" s="482">
        <f t="shared" si="16"/>
        <v>8707.1673684210527</v>
      </c>
      <c r="F26" s="483">
        <f t="shared" si="17"/>
        <v>257596.39572066331</v>
      </c>
      <c r="G26" s="484">
        <f t="shared" si="18"/>
        <v>38501.407162400879</v>
      </c>
      <c r="H26" s="453">
        <f t="shared" si="19"/>
        <v>38501.407162400879</v>
      </c>
      <c r="I26" s="473">
        <f t="shared" si="0"/>
        <v>0</v>
      </c>
      <c r="J26" s="473"/>
      <c r="K26" s="485"/>
      <c r="L26" s="476">
        <f t="shared" si="2"/>
        <v>0</v>
      </c>
      <c r="M26" s="485"/>
      <c r="N26" s="476">
        <f t="shared" si="4"/>
        <v>0</v>
      </c>
      <c r="O26" s="476">
        <f t="shared" si="5"/>
        <v>0</v>
      </c>
      <c r="P26" s="241"/>
    </row>
    <row r="27" spans="2:16">
      <c r="B27" s="160" t="str">
        <f t="shared" si="7"/>
        <v/>
      </c>
      <c r="C27" s="470">
        <f>IF(D11="","-",+C26+1)</f>
        <v>2027</v>
      </c>
      <c r="D27" s="481">
        <f>IF(F26+SUM(E$17:E26)=D$10,F26,D$10-SUM(E$17:E26))</f>
        <v>257596.39572066331</v>
      </c>
      <c r="E27" s="482">
        <f t="shared" si="16"/>
        <v>8707.1673684210527</v>
      </c>
      <c r="F27" s="483">
        <f t="shared" si="17"/>
        <v>248889.22835224227</v>
      </c>
      <c r="G27" s="484">
        <f t="shared" si="18"/>
        <v>37511.052312629792</v>
      </c>
      <c r="H27" s="453">
        <f t="shared" si="19"/>
        <v>37511.052312629792</v>
      </c>
      <c r="I27" s="473">
        <f t="shared" si="0"/>
        <v>0</v>
      </c>
      <c r="J27" s="473"/>
      <c r="K27" s="485"/>
      <c r="L27" s="476">
        <f t="shared" si="2"/>
        <v>0</v>
      </c>
      <c r="M27" s="485"/>
      <c r="N27" s="476">
        <f t="shared" si="4"/>
        <v>0</v>
      </c>
      <c r="O27" s="476">
        <f t="shared" si="5"/>
        <v>0</v>
      </c>
      <c r="P27" s="241"/>
    </row>
    <row r="28" spans="2:16">
      <c r="B28" s="160" t="str">
        <f t="shared" si="7"/>
        <v/>
      </c>
      <c r="C28" s="470">
        <f>IF(D11="","-",+C27+1)</f>
        <v>2028</v>
      </c>
      <c r="D28" s="481">
        <f>IF(F27+SUM(E$17:E27)=D$10,F27,D$10-SUM(E$17:E27))</f>
        <v>248889.22835224227</v>
      </c>
      <c r="E28" s="482">
        <f t="shared" si="16"/>
        <v>8707.1673684210527</v>
      </c>
      <c r="F28" s="483">
        <f t="shared" si="17"/>
        <v>240182.06098382123</v>
      </c>
      <c r="G28" s="484">
        <f t="shared" si="18"/>
        <v>36520.697462858705</v>
      </c>
      <c r="H28" s="453">
        <f t="shared" si="19"/>
        <v>36520.697462858705</v>
      </c>
      <c r="I28" s="473">
        <f t="shared" si="0"/>
        <v>0</v>
      </c>
      <c r="J28" s="473"/>
      <c r="K28" s="485"/>
      <c r="L28" s="476">
        <f t="shared" si="2"/>
        <v>0</v>
      </c>
      <c r="M28" s="485"/>
      <c r="N28" s="476">
        <f t="shared" si="4"/>
        <v>0</v>
      </c>
      <c r="O28" s="476">
        <f t="shared" si="5"/>
        <v>0</v>
      </c>
      <c r="P28" s="241"/>
    </row>
    <row r="29" spans="2:16">
      <c r="B29" s="160" t="str">
        <f t="shared" si="7"/>
        <v/>
      </c>
      <c r="C29" s="470">
        <f>IF(D11="","-",+C28+1)</f>
        <v>2029</v>
      </c>
      <c r="D29" s="481">
        <f>IF(F28+SUM(E$17:E28)=D$10,F28,D$10-SUM(E$17:E28))</f>
        <v>240182.06098382123</v>
      </c>
      <c r="E29" s="482">
        <f t="shared" si="16"/>
        <v>8707.1673684210527</v>
      </c>
      <c r="F29" s="483">
        <f t="shared" si="17"/>
        <v>231474.89361540019</v>
      </c>
      <c r="G29" s="484">
        <f t="shared" si="18"/>
        <v>35530.342613087625</v>
      </c>
      <c r="H29" s="453">
        <f t="shared" si="19"/>
        <v>35530.342613087625</v>
      </c>
      <c r="I29" s="473">
        <f t="shared" si="0"/>
        <v>0</v>
      </c>
      <c r="J29" s="473"/>
      <c r="K29" s="485"/>
      <c r="L29" s="476">
        <f t="shared" si="2"/>
        <v>0</v>
      </c>
      <c r="M29" s="485"/>
      <c r="N29" s="476">
        <f t="shared" si="4"/>
        <v>0</v>
      </c>
      <c r="O29" s="476">
        <f t="shared" si="5"/>
        <v>0</v>
      </c>
      <c r="P29" s="241"/>
    </row>
    <row r="30" spans="2:16">
      <c r="B30" s="160" t="str">
        <f t="shared" si="7"/>
        <v/>
      </c>
      <c r="C30" s="470">
        <f>IF(D11="","-",+C29+1)</f>
        <v>2030</v>
      </c>
      <c r="D30" s="481">
        <f>IF(F29+SUM(E$17:E29)=D$10,F29,D$10-SUM(E$17:E29))</f>
        <v>231474.89361540019</v>
      </c>
      <c r="E30" s="482">
        <f t="shared" si="16"/>
        <v>8707.1673684210527</v>
      </c>
      <c r="F30" s="483">
        <f t="shared" si="17"/>
        <v>222767.72624697915</v>
      </c>
      <c r="G30" s="484">
        <f t="shared" si="18"/>
        <v>34539.987763316538</v>
      </c>
      <c r="H30" s="453">
        <f t="shared" si="19"/>
        <v>34539.987763316538</v>
      </c>
      <c r="I30" s="473">
        <f t="shared" si="0"/>
        <v>0</v>
      </c>
      <c r="J30" s="473"/>
      <c r="K30" s="485"/>
      <c r="L30" s="476">
        <f t="shared" si="2"/>
        <v>0</v>
      </c>
      <c r="M30" s="485"/>
      <c r="N30" s="476">
        <f t="shared" si="4"/>
        <v>0</v>
      </c>
      <c r="O30" s="476">
        <f t="shared" si="5"/>
        <v>0</v>
      </c>
      <c r="P30" s="241"/>
    </row>
    <row r="31" spans="2:16">
      <c r="B31" s="160" t="str">
        <f t="shared" si="7"/>
        <v/>
      </c>
      <c r="C31" s="470">
        <f>IF(D11="","-",+C30+1)</f>
        <v>2031</v>
      </c>
      <c r="D31" s="481">
        <f>IF(F30+SUM(E$17:E30)=D$10,F30,D$10-SUM(E$17:E30))</f>
        <v>222767.72624697915</v>
      </c>
      <c r="E31" s="482">
        <f t="shared" si="16"/>
        <v>8707.1673684210527</v>
      </c>
      <c r="F31" s="483">
        <f t="shared" si="17"/>
        <v>214060.55887855811</v>
      </c>
      <c r="G31" s="484">
        <f t="shared" si="18"/>
        <v>33549.632913545451</v>
      </c>
      <c r="H31" s="453">
        <f t="shared" si="19"/>
        <v>33549.632913545451</v>
      </c>
      <c r="I31" s="473">
        <f t="shared" si="0"/>
        <v>0</v>
      </c>
      <c r="J31" s="473"/>
      <c r="K31" s="485"/>
      <c r="L31" s="476">
        <f t="shared" si="2"/>
        <v>0</v>
      </c>
      <c r="M31" s="485"/>
      <c r="N31" s="476">
        <f t="shared" si="4"/>
        <v>0</v>
      </c>
      <c r="O31" s="476">
        <f t="shared" si="5"/>
        <v>0</v>
      </c>
      <c r="P31" s="241"/>
    </row>
    <row r="32" spans="2:16">
      <c r="B32" s="160" t="str">
        <f t="shared" si="7"/>
        <v/>
      </c>
      <c r="C32" s="470">
        <f>IF(D11="","-",+C31+1)</f>
        <v>2032</v>
      </c>
      <c r="D32" s="481">
        <f>IF(F31+SUM(E$17:E31)=D$10,F31,D$10-SUM(E$17:E31))</f>
        <v>214060.55887855811</v>
      </c>
      <c r="E32" s="482">
        <f t="shared" si="16"/>
        <v>8707.1673684210527</v>
      </c>
      <c r="F32" s="483">
        <f t="shared" si="17"/>
        <v>205353.39151013707</v>
      </c>
      <c r="G32" s="484">
        <f t="shared" si="18"/>
        <v>32559.278063774364</v>
      </c>
      <c r="H32" s="453">
        <f t="shared" si="19"/>
        <v>32559.278063774364</v>
      </c>
      <c r="I32" s="473">
        <f t="shared" si="0"/>
        <v>0</v>
      </c>
      <c r="J32" s="473"/>
      <c r="K32" s="485"/>
      <c r="L32" s="476">
        <f t="shared" si="2"/>
        <v>0</v>
      </c>
      <c r="M32" s="485"/>
      <c r="N32" s="476">
        <f t="shared" si="4"/>
        <v>0</v>
      </c>
      <c r="O32" s="476">
        <f t="shared" si="5"/>
        <v>0</v>
      </c>
      <c r="P32" s="241"/>
    </row>
    <row r="33" spans="2:16">
      <c r="B33" s="160" t="str">
        <f t="shared" si="7"/>
        <v/>
      </c>
      <c r="C33" s="470">
        <f>IF(D11="","-",+C32+1)</f>
        <v>2033</v>
      </c>
      <c r="D33" s="481">
        <f>IF(F32+SUM(E$17:E32)=D$10,F32,D$10-SUM(E$17:E32))</f>
        <v>205353.39151013707</v>
      </c>
      <c r="E33" s="482">
        <f t="shared" si="16"/>
        <v>8707.1673684210527</v>
      </c>
      <c r="F33" s="483">
        <f t="shared" si="17"/>
        <v>196646.22414171603</v>
      </c>
      <c r="G33" s="484">
        <f t="shared" si="18"/>
        <v>31568.923214003284</v>
      </c>
      <c r="H33" s="453">
        <f t="shared" si="19"/>
        <v>31568.923214003284</v>
      </c>
      <c r="I33" s="473">
        <f t="shared" si="0"/>
        <v>0</v>
      </c>
      <c r="J33" s="473"/>
      <c r="K33" s="485"/>
      <c r="L33" s="476">
        <f t="shared" si="2"/>
        <v>0</v>
      </c>
      <c r="M33" s="485"/>
      <c r="N33" s="476">
        <f t="shared" si="4"/>
        <v>0</v>
      </c>
      <c r="O33" s="476">
        <f t="shared" si="5"/>
        <v>0</v>
      </c>
      <c r="P33" s="241"/>
    </row>
    <row r="34" spans="2:16">
      <c r="B34" s="160" t="str">
        <f t="shared" si="7"/>
        <v/>
      </c>
      <c r="C34" s="470">
        <f>IF(D11="","-",+C33+1)</f>
        <v>2034</v>
      </c>
      <c r="D34" s="481">
        <f>IF(F33+SUM(E$17:E33)=D$10,F33,D$10-SUM(E$17:E33))</f>
        <v>196646.22414171603</v>
      </c>
      <c r="E34" s="482">
        <f t="shared" si="16"/>
        <v>8707.1673684210527</v>
      </c>
      <c r="F34" s="483">
        <f t="shared" si="17"/>
        <v>187939.05677329499</v>
      </c>
      <c r="G34" s="484">
        <f t="shared" si="18"/>
        <v>30578.568364232196</v>
      </c>
      <c r="H34" s="453">
        <f t="shared" si="19"/>
        <v>30578.568364232196</v>
      </c>
      <c r="I34" s="473">
        <f t="shared" si="0"/>
        <v>0</v>
      </c>
      <c r="J34" s="473"/>
      <c r="K34" s="485"/>
      <c r="L34" s="476">
        <f t="shared" si="2"/>
        <v>0</v>
      </c>
      <c r="M34" s="485"/>
      <c r="N34" s="476">
        <f t="shared" si="4"/>
        <v>0</v>
      </c>
      <c r="O34" s="476">
        <f t="shared" si="5"/>
        <v>0</v>
      </c>
      <c r="P34" s="241"/>
    </row>
    <row r="35" spans="2:16">
      <c r="B35" s="160" t="str">
        <f t="shared" si="7"/>
        <v/>
      </c>
      <c r="C35" s="470">
        <f>IF(D11="","-",+C34+1)</f>
        <v>2035</v>
      </c>
      <c r="D35" s="481">
        <f>IF(F34+SUM(E$17:E34)=D$10,F34,D$10-SUM(E$17:E34))</f>
        <v>187939.05677329499</v>
      </c>
      <c r="E35" s="482">
        <f t="shared" si="16"/>
        <v>8707.1673684210527</v>
      </c>
      <c r="F35" s="483">
        <f t="shared" si="17"/>
        <v>179231.88940487395</v>
      </c>
      <c r="G35" s="484">
        <f t="shared" si="18"/>
        <v>29588.213514461109</v>
      </c>
      <c r="H35" s="453">
        <f t="shared" si="19"/>
        <v>29588.213514461109</v>
      </c>
      <c r="I35" s="473">
        <f t="shared" si="0"/>
        <v>0</v>
      </c>
      <c r="J35" s="473"/>
      <c r="K35" s="485"/>
      <c r="L35" s="476">
        <f t="shared" si="2"/>
        <v>0</v>
      </c>
      <c r="M35" s="485"/>
      <c r="N35" s="476">
        <f t="shared" si="4"/>
        <v>0</v>
      </c>
      <c r="O35" s="476">
        <f t="shared" si="5"/>
        <v>0</v>
      </c>
      <c r="P35" s="241"/>
    </row>
    <row r="36" spans="2:16">
      <c r="B36" s="160" t="str">
        <f t="shared" si="7"/>
        <v/>
      </c>
      <c r="C36" s="470">
        <f>IF(D11="","-",+C35+1)</f>
        <v>2036</v>
      </c>
      <c r="D36" s="481">
        <f>IF(F35+SUM(E$17:E35)=D$10,F35,D$10-SUM(E$17:E35))</f>
        <v>179231.88940487395</v>
      </c>
      <c r="E36" s="482">
        <f t="shared" si="16"/>
        <v>8707.1673684210527</v>
      </c>
      <c r="F36" s="483">
        <f t="shared" si="17"/>
        <v>170524.72203645291</v>
      </c>
      <c r="G36" s="484">
        <f t="shared" si="18"/>
        <v>28597.858664690022</v>
      </c>
      <c r="H36" s="453">
        <f t="shared" si="19"/>
        <v>28597.858664690022</v>
      </c>
      <c r="I36" s="473">
        <f t="shared" si="0"/>
        <v>0</v>
      </c>
      <c r="J36" s="473"/>
      <c r="K36" s="485"/>
      <c r="L36" s="476">
        <f t="shared" si="2"/>
        <v>0</v>
      </c>
      <c r="M36" s="485"/>
      <c r="N36" s="476">
        <f t="shared" si="4"/>
        <v>0</v>
      </c>
      <c r="O36" s="476">
        <f t="shared" si="5"/>
        <v>0</v>
      </c>
      <c r="P36" s="241"/>
    </row>
    <row r="37" spans="2:16">
      <c r="B37" s="160" t="str">
        <f t="shared" si="7"/>
        <v/>
      </c>
      <c r="C37" s="470">
        <f>IF(D11="","-",+C36+1)</f>
        <v>2037</v>
      </c>
      <c r="D37" s="481">
        <f>IF(F36+SUM(E$17:E36)=D$10,F36,D$10-SUM(E$17:E36))</f>
        <v>170524.72203645291</v>
      </c>
      <c r="E37" s="482">
        <f t="shared" si="16"/>
        <v>8707.1673684210527</v>
      </c>
      <c r="F37" s="483">
        <f t="shared" si="17"/>
        <v>161817.55466803187</v>
      </c>
      <c r="G37" s="484">
        <f t="shared" si="18"/>
        <v>27607.503814918942</v>
      </c>
      <c r="H37" s="453">
        <f t="shared" si="19"/>
        <v>27607.503814918942</v>
      </c>
      <c r="I37" s="473">
        <f t="shared" si="0"/>
        <v>0</v>
      </c>
      <c r="J37" s="473"/>
      <c r="K37" s="485"/>
      <c r="L37" s="476">
        <f t="shared" si="2"/>
        <v>0</v>
      </c>
      <c r="M37" s="485"/>
      <c r="N37" s="476">
        <f t="shared" si="4"/>
        <v>0</v>
      </c>
      <c r="O37" s="476">
        <f t="shared" si="5"/>
        <v>0</v>
      </c>
      <c r="P37" s="241"/>
    </row>
    <row r="38" spans="2:16">
      <c r="B38" s="160" t="str">
        <f t="shared" si="7"/>
        <v/>
      </c>
      <c r="C38" s="470">
        <f>IF(D11="","-",+C37+1)</f>
        <v>2038</v>
      </c>
      <c r="D38" s="481">
        <f>IF(F37+SUM(E$17:E37)=D$10,F37,D$10-SUM(E$17:E37))</f>
        <v>161817.55466803187</v>
      </c>
      <c r="E38" s="482">
        <f t="shared" si="16"/>
        <v>8707.1673684210527</v>
      </c>
      <c r="F38" s="483">
        <f t="shared" si="17"/>
        <v>153110.38729961083</v>
      </c>
      <c r="G38" s="484">
        <f t="shared" si="18"/>
        <v>26617.148965147855</v>
      </c>
      <c r="H38" s="453">
        <f t="shared" si="19"/>
        <v>26617.148965147855</v>
      </c>
      <c r="I38" s="473">
        <f t="shared" si="0"/>
        <v>0</v>
      </c>
      <c r="J38" s="473"/>
      <c r="K38" s="485"/>
      <c r="L38" s="476">
        <f t="shared" si="2"/>
        <v>0</v>
      </c>
      <c r="M38" s="485"/>
      <c r="N38" s="476">
        <f t="shared" si="4"/>
        <v>0</v>
      </c>
      <c r="O38" s="476">
        <f t="shared" si="5"/>
        <v>0</v>
      </c>
      <c r="P38" s="241"/>
    </row>
    <row r="39" spans="2:16">
      <c r="B39" s="160" t="str">
        <f t="shared" si="7"/>
        <v/>
      </c>
      <c r="C39" s="470">
        <f>IF(D11="","-",+C38+1)</f>
        <v>2039</v>
      </c>
      <c r="D39" s="481">
        <f>IF(F38+SUM(E$17:E38)=D$10,F38,D$10-SUM(E$17:E38))</f>
        <v>153110.38729961083</v>
      </c>
      <c r="E39" s="482">
        <f t="shared" si="16"/>
        <v>8707.1673684210527</v>
      </c>
      <c r="F39" s="483">
        <f t="shared" si="17"/>
        <v>144403.21993118979</v>
      </c>
      <c r="G39" s="484">
        <f t="shared" si="18"/>
        <v>25626.794115376768</v>
      </c>
      <c r="H39" s="453">
        <f t="shared" si="19"/>
        <v>25626.794115376768</v>
      </c>
      <c r="I39" s="473">
        <f t="shared" si="0"/>
        <v>0</v>
      </c>
      <c r="J39" s="473"/>
      <c r="K39" s="485"/>
      <c r="L39" s="476">
        <f t="shared" si="2"/>
        <v>0</v>
      </c>
      <c r="M39" s="485"/>
      <c r="N39" s="476">
        <f t="shared" si="4"/>
        <v>0</v>
      </c>
      <c r="O39" s="476">
        <f t="shared" si="5"/>
        <v>0</v>
      </c>
      <c r="P39" s="241"/>
    </row>
    <row r="40" spans="2:16">
      <c r="B40" s="160" t="str">
        <f t="shared" si="7"/>
        <v/>
      </c>
      <c r="C40" s="470">
        <f>IF(D11="","-",+C39+1)</f>
        <v>2040</v>
      </c>
      <c r="D40" s="481">
        <f>IF(F39+SUM(E$17:E39)=D$10,F39,D$10-SUM(E$17:E39))</f>
        <v>144403.21993118979</v>
      </c>
      <c r="E40" s="482">
        <f t="shared" si="16"/>
        <v>8707.1673684210527</v>
      </c>
      <c r="F40" s="483">
        <f t="shared" si="17"/>
        <v>135696.05256276875</v>
      </c>
      <c r="G40" s="484">
        <f t="shared" si="18"/>
        <v>24636.439265605681</v>
      </c>
      <c r="H40" s="453">
        <f t="shared" si="19"/>
        <v>24636.439265605681</v>
      </c>
      <c r="I40" s="473">
        <f t="shared" si="0"/>
        <v>0</v>
      </c>
      <c r="J40" s="473"/>
      <c r="K40" s="485"/>
      <c r="L40" s="476">
        <f t="shared" si="2"/>
        <v>0</v>
      </c>
      <c r="M40" s="485"/>
      <c r="N40" s="476">
        <f t="shared" si="4"/>
        <v>0</v>
      </c>
      <c r="O40" s="476">
        <f t="shared" si="5"/>
        <v>0</v>
      </c>
      <c r="P40" s="241"/>
    </row>
    <row r="41" spans="2:16">
      <c r="B41" s="160" t="str">
        <f t="shared" si="7"/>
        <v/>
      </c>
      <c r="C41" s="470">
        <f>IF(D11="","-",+C40+1)</f>
        <v>2041</v>
      </c>
      <c r="D41" s="481">
        <f>IF(F40+SUM(E$17:E40)=D$10,F40,D$10-SUM(E$17:E40))</f>
        <v>135696.05256276875</v>
      </c>
      <c r="E41" s="482">
        <f t="shared" si="16"/>
        <v>8707.1673684210527</v>
      </c>
      <c r="F41" s="483">
        <f t="shared" si="17"/>
        <v>126988.88519434769</v>
      </c>
      <c r="G41" s="484">
        <f t="shared" si="18"/>
        <v>23646.084415834597</v>
      </c>
      <c r="H41" s="453">
        <f t="shared" si="19"/>
        <v>23646.084415834597</v>
      </c>
      <c r="I41" s="473">
        <f t="shared" si="0"/>
        <v>0</v>
      </c>
      <c r="J41" s="473"/>
      <c r="K41" s="485"/>
      <c r="L41" s="476">
        <f t="shared" si="2"/>
        <v>0</v>
      </c>
      <c r="M41" s="485"/>
      <c r="N41" s="476">
        <f t="shared" si="4"/>
        <v>0</v>
      </c>
      <c r="O41" s="476">
        <f t="shared" si="5"/>
        <v>0</v>
      </c>
      <c r="P41" s="241"/>
    </row>
    <row r="42" spans="2:16">
      <c r="B42" s="160" t="str">
        <f t="shared" si="7"/>
        <v/>
      </c>
      <c r="C42" s="470">
        <f>IF(D11="","-",+C41+1)</f>
        <v>2042</v>
      </c>
      <c r="D42" s="481">
        <f>IF(F41+SUM(E$17:E41)=D$10,F41,D$10-SUM(E$17:E41))</f>
        <v>126988.88519434769</v>
      </c>
      <c r="E42" s="482">
        <f t="shared" si="16"/>
        <v>8707.1673684210527</v>
      </c>
      <c r="F42" s="483">
        <f t="shared" si="17"/>
        <v>118281.71782592664</v>
      </c>
      <c r="G42" s="484">
        <f t="shared" si="18"/>
        <v>22655.729566063506</v>
      </c>
      <c r="H42" s="453">
        <f t="shared" si="19"/>
        <v>22655.729566063506</v>
      </c>
      <c r="I42" s="473">
        <f t="shared" si="0"/>
        <v>0</v>
      </c>
      <c r="J42" s="473"/>
      <c r="K42" s="485"/>
      <c r="L42" s="476">
        <f t="shared" si="2"/>
        <v>0</v>
      </c>
      <c r="M42" s="485"/>
      <c r="N42" s="476">
        <f t="shared" si="4"/>
        <v>0</v>
      </c>
      <c r="O42" s="476">
        <f t="shared" si="5"/>
        <v>0</v>
      </c>
      <c r="P42" s="241"/>
    </row>
    <row r="43" spans="2:16">
      <c r="B43" s="160" t="str">
        <f t="shared" si="7"/>
        <v/>
      </c>
      <c r="C43" s="470">
        <f>IF(D11="","-",+C42+1)</f>
        <v>2043</v>
      </c>
      <c r="D43" s="481">
        <f>IF(F42+SUM(E$17:E42)=D$10,F42,D$10-SUM(E$17:E42))</f>
        <v>118281.71782592664</v>
      </c>
      <c r="E43" s="482">
        <f t="shared" si="16"/>
        <v>8707.1673684210527</v>
      </c>
      <c r="F43" s="483">
        <f t="shared" si="17"/>
        <v>109574.55045750558</v>
      </c>
      <c r="G43" s="484">
        <f t="shared" si="18"/>
        <v>21665.374716292423</v>
      </c>
      <c r="H43" s="453">
        <f t="shared" si="19"/>
        <v>21665.374716292423</v>
      </c>
      <c r="I43" s="473">
        <f t="shared" si="0"/>
        <v>0</v>
      </c>
      <c r="J43" s="473"/>
      <c r="K43" s="485"/>
      <c r="L43" s="476">
        <f t="shared" si="2"/>
        <v>0</v>
      </c>
      <c r="M43" s="485"/>
      <c r="N43" s="476">
        <f t="shared" si="4"/>
        <v>0</v>
      </c>
      <c r="O43" s="476">
        <f t="shared" si="5"/>
        <v>0</v>
      </c>
      <c r="P43" s="241"/>
    </row>
    <row r="44" spans="2:16">
      <c r="B44" s="160" t="str">
        <f t="shared" si="7"/>
        <v/>
      </c>
      <c r="C44" s="470">
        <f>IF(D11="","-",+C43+1)</f>
        <v>2044</v>
      </c>
      <c r="D44" s="481">
        <f>IF(F43+SUM(E$17:E43)=D$10,F43,D$10-SUM(E$17:E43))</f>
        <v>109574.55045750558</v>
      </c>
      <c r="E44" s="482">
        <f t="shared" si="16"/>
        <v>8707.1673684210527</v>
      </c>
      <c r="F44" s="483">
        <f t="shared" si="17"/>
        <v>100867.38308908453</v>
      </c>
      <c r="G44" s="484">
        <f t="shared" si="18"/>
        <v>20675.019866521332</v>
      </c>
      <c r="H44" s="453">
        <f t="shared" si="19"/>
        <v>20675.019866521332</v>
      </c>
      <c r="I44" s="473">
        <f t="shared" si="0"/>
        <v>0</v>
      </c>
      <c r="J44" s="473"/>
      <c r="K44" s="485"/>
      <c r="L44" s="476">
        <f t="shared" si="2"/>
        <v>0</v>
      </c>
      <c r="M44" s="485"/>
      <c r="N44" s="476">
        <f t="shared" si="4"/>
        <v>0</v>
      </c>
      <c r="O44" s="476">
        <f t="shared" si="5"/>
        <v>0</v>
      </c>
      <c r="P44" s="241"/>
    </row>
    <row r="45" spans="2:16">
      <c r="B45" s="160" t="str">
        <f t="shared" si="7"/>
        <v/>
      </c>
      <c r="C45" s="470">
        <f>IF(D11="","-",+C44+1)</f>
        <v>2045</v>
      </c>
      <c r="D45" s="481">
        <f>IF(F44+SUM(E$17:E44)=D$10,F44,D$10-SUM(E$17:E44))</f>
        <v>100867.38308908453</v>
      </c>
      <c r="E45" s="482">
        <f t="shared" si="16"/>
        <v>8707.1673684210527</v>
      </c>
      <c r="F45" s="483">
        <f t="shared" si="17"/>
        <v>92160.215720663473</v>
      </c>
      <c r="G45" s="484">
        <f t="shared" si="18"/>
        <v>19684.665016750248</v>
      </c>
      <c r="H45" s="453">
        <f t="shared" si="19"/>
        <v>19684.665016750248</v>
      </c>
      <c r="I45" s="473">
        <f t="shared" si="0"/>
        <v>0</v>
      </c>
      <c r="J45" s="473"/>
      <c r="K45" s="485"/>
      <c r="L45" s="476">
        <f t="shared" si="2"/>
        <v>0</v>
      </c>
      <c r="M45" s="485"/>
      <c r="N45" s="476">
        <f t="shared" si="4"/>
        <v>0</v>
      </c>
      <c r="O45" s="476">
        <f t="shared" si="5"/>
        <v>0</v>
      </c>
      <c r="P45" s="241"/>
    </row>
    <row r="46" spans="2:16">
      <c r="B46" s="160" t="str">
        <f t="shared" si="7"/>
        <v/>
      </c>
      <c r="C46" s="470">
        <f>IF(D11="","-",+C45+1)</f>
        <v>2046</v>
      </c>
      <c r="D46" s="481">
        <f>IF(F45+SUM(E$17:E45)=D$10,F45,D$10-SUM(E$17:E45))</f>
        <v>92160.215720663473</v>
      </c>
      <c r="E46" s="482">
        <f t="shared" si="16"/>
        <v>8707.1673684210527</v>
      </c>
      <c r="F46" s="483">
        <f t="shared" si="17"/>
        <v>83453.048352242418</v>
      </c>
      <c r="G46" s="484">
        <f t="shared" si="18"/>
        <v>18694.310166979158</v>
      </c>
      <c r="H46" s="453">
        <f t="shared" si="19"/>
        <v>18694.310166979158</v>
      </c>
      <c r="I46" s="473">
        <f t="shared" si="0"/>
        <v>0</v>
      </c>
      <c r="J46" s="473"/>
      <c r="K46" s="485"/>
      <c r="L46" s="476">
        <f t="shared" si="2"/>
        <v>0</v>
      </c>
      <c r="M46" s="485"/>
      <c r="N46" s="476">
        <f t="shared" si="4"/>
        <v>0</v>
      </c>
      <c r="O46" s="476">
        <f t="shared" si="5"/>
        <v>0</v>
      </c>
      <c r="P46" s="241"/>
    </row>
    <row r="47" spans="2:16">
      <c r="B47" s="160" t="str">
        <f t="shared" si="7"/>
        <v/>
      </c>
      <c r="C47" s="470">
        <f>IF(D11="","-",+C46+1)</f>
        <v>2047</v>
      </c>
      <c r="D47" s="481">
        <f>IF(F46+SUM(E$17:E46)=D$10,F46,D$10-SUM(E$17:E46))</f>
        <v>83453.048352242418</v>
      </c>
      <c r="E47" s="482">
        <f t="shared" si="16"/>
        <v>8707.1673684210527</v>
      </c>
      <c r="F47" s="483">
        <f t="shared" si="17"/>
        <v>74745.880983821364</v>
      </c>
      <c r="G47" s="484">
        <f t="shared" si="18"/>
        <v>17703.955317208074</v>
      </c>
      <c r="H47" s="453">
        <f t="shared" si="19"/>
        <v>17703.955317208074</v>
      </c>
      <c r="I47" s="473">
        <f t="shared" si="0"/>
        <v>0</v>
      </c>
      <c r="J47" s="473"/>
      <c r="K47" s="485"/>
      <c r="L47" s="476">
        <f t="shared" si="2"/>
        <v>0</v>
      </c>
      <c r="M47" s="485"/>
      <c r="N47" s="476">
        <f t="shared" si="4"/>
        <v>0</v>
      </c>
      <c r="O47" s="476">
        <f t="shared" si="5"/>
        <v>0</v>
      </c>
      <c r="P47" s="241"/>
    </row>
    <row r="48" spans="2:16">
      <c r="B48" s="160" t="str">
        <f t="shared" si="7"/>
        <v/>
      </c>
      <c r="C48" s="470">
        <f>IF(D11="","-",+C47+1)</f>
        <v>2048</v>
      </c>
      <c r="D48" s="481">
        <f>IF(F47+SUM(E$17:E47)=D$10,F47,D$10-SUM(E$17:E47))</f>
        <v>74745.880983821364</v>
      </c>
      <c r="E48" s="482">
        <f t="shared" si="16"/>
        <v>8707.1673684210527</v>
      </c>
      <c r="F48" s="483">
        <f t="shared" si="17"/>
        <v>66038.713615400309</v>
      </c>
      <c r="G48" s="484">
        <f t="shared" si="18"/>
        <v>16713.600467436983</v>
      </c>
      <c r="H48" s="453">
        <f t="shared" si="19"/>
        <v>16713.600467436983</v>
      </c>
      <c r="I48" s="473">
        <f t="shared" si="0"/>
        <v>0</v>
      </c>
      <c r="J48" s="473"/>
      <c r="K48" s="485"/>
      <c r="L48" s="476">
        <f t="shared" si="2"/>
        <v>0</v>
      </c>
      <c r="M48" s="485"/>
      <c r="N48" s="476">
        <f t="shared" si="4"/>
        <v>0</v>
      </c>
      <c r="O48" s="476">
        <f t="shared" si="5"/>
        <v>0</v>
      </c>
      <c r="P48" s="241"/>
    </row>
    <row r="49" spans="2:16">
      <c r="B49" s="160" t="str">
        <f t="shared" si="7"/>
        <v/>
      </c>
      <c r="C49" s="470">
        <f>IF(D11="","-",+C48+1)</f>
        <v>2049</v>
      </c>
      <c r="D49" s="481">
        <f>IF(F48+SUM(E$17:E48)=D$10,F48,D$10-SUM(E$17:E48))</f>
        <v>66038.713615400309</v>
      </c>
      <c r="E49" s="482">
        <f t="shared" si="16"/>
        <v>8707.1673684210527</v>
      </c>
      <c r="F49" s="483">
        <f t="shared" si="17"/>
        <v>57331.546246979255</v>
      </c>
      <c r="G49" s="484">
        <f t="shared" si="18"/>
        <v>15723.2456176659</v>
      </c>
      <c r="H49" s="453">
        <f t="shared" si="19"/>
        <v>15723.2456176659</v>
      </c>
      <c r="I49" s="473">
        <f t="shared" si="0"/>
        <v>0</v>
      </c>
      <c r="J49" s="473"/>
      <c r="K49" s="485"/>
      <c r="L49" s="476">
        <f t="shared" si="2"/>
        <v>0</v>
      </c>
      <c r="M49" s="485"/>
      <c r="N49" s="476">
        <f t="shared" si="4"/>
        <v>0</v>
      </c>
      <c r="O49" s="476">
        <f t="shared" si="5"/>
        <v>0</v>
      </c>
      <c r="P49" s="241"/>
    </row>
    <row r="50" spans="2:16">
      <c r="B50" s="160" t="str">
        <f t="shared" si="7"/>
        <v/>
      </c>
      <c r="C50" s="470">
        <f>IF(D11="","-",+C49+1)</f>
        <v>2050</v>
      </c>
      <c r="D50" s="481">
        <f>IF(F49+SUM(E$17:E49)=D$10,F49,D$10-SUM(E$17:E49))</f>
        <v>57331.546246979255</v>
      </c>
      <c r="E50" s="482">
        <f t="shared" si="16"/>
        <v>8707.1673684210527</v>
      </c>
      <c r="F50" s="483">
        <f t="shared" si="17"/>
        <v>48624.3788785582</v>
      </c>
      <c r="G50" s="484">
        <f t="shared" si="18"/>
        <v>14732.890767894813</v>
      </c>
      <c r="H50" s="453">
        <f t="shared" si="19"/>
        <v>14732.890767894813</v>
      </c>
      <c r="I50" s="473">
        <f t="shared" si="0"/>
        <v>0</v>
      </c>
      <c r="J50" s="473"/>
      <c r="K50" s="485"/>
      <c r="L50" s="476">
        <f t="shared" si="2"/>
        <v>0</v>
      </c>
      <c r="M50" s="485"/>
      <c r="N50" s="476">
        <f t="shared" si="4"/>
        <v>0</v>
      </c>
      <c r="O50" s="476">
        <f t="shared" si="5"/>
        <v>0</v>
      </c>
      <c r="P50" s="241"/>
    </row>
    <row r="51" spans="2:16">
      <c r="B51" s="160" t="str">
        <f t="shared" si="7"/>
        <v/>
      </c>
      <c r="C51" s="470">
        <f>IF(D11="","-",+C50+1)</f>
        <v>2051</v>
      </c>
      <c r="D51" s="481">
        <f>IF(F50+SUM(E$17:E50)=D$10,F50,D$10-SUM(E$17:E50))</f>
        <v>48624.3788785582</v>
      </c>
      <c r="E51" s="482">
        <f t="shared" si="16"/>
        <v>8707.1673684210527</v>
      </c>
      <c r="F51" s="483">
        <f t="shared" si="17"/>
        <v>39917.211510137146</v>
      </c>
      <c r="G51" s="484">
        <f t="shared" si="18"/>
        <v>13742.535918123725</v>
      </c>
      <c r="H51" s="453">
        <f t="shared" si="19"/>
        <v>13742.535918123725</v>
      </c>
      <c r="I51" s="473">
        <f t="shared" si="0"/>
        <v>0</v>
      </c>
      <c r="J51" s="473"/>
      <c r="K51" s="485"/>
      <c r="L51" s="476">
        <f t="shared" si="2"/>
        <v>0</v>
      </c>
      <c r="M51" s="485"/>
      <c r="N51" s="476">
        <f t="shared" si="4"/>
        <v>0</v>
      </c>
      <c r="O51" s="476">
        <f t="shared" si="5"/>
        <v>0</v>
      </c>
      <c r="P51" s="241"/>
    </row>
    <row r="52" spans="2:16">
      <c r="B52" s="160" t="str">
        <f t="shared" si="7"/>
        <v/>
      </c>
      <c r="C52" s="470">
        <f>IF(D11="","-",+C51+1)</f>
        <v>2052</v>
      </c>
      <c r="D52" s="481">
        <f>IF(F51+SUM(E$17:E51)=D$10,F51,D$10-SUM(E$17:E51))</f>
        <v>39917.211510137146</v>
      </c>
      <c r="E52" s="482">
        <f t="shared" si="16"/>
        <v>8707.1673684210527</v>
      </c>
      <c r="F52" s="483">
        <f t="shared" si="17"/>
        <v>31210.044141716091</v>
      </c>
      <c r="G52" s="484">
        <f t="shared" si="18"/>
        <v>12752.181068352638</v>
      </c>
      <c r="H52" s="453">
        <f t="shared" si="19"/>
        <v>12752.181068352638</v>
      </c>
      <c r="I52" s="473">
        <f t="shared" si="0"/>
        <v>0</v>
      </c>
      <c r="J52" s="473"/>
      <c r="K52" s="485"/>
      <c r="L52" s="476">
        <f t="shared" si="2"/>
        <v>0</v>
      </c>
      <c r="M52" s="485"/>
      <c r="N52" s="476">
        <f t="shared" si="4"/>
        <v>0</v>
      </c>
      <c r="O52" s="476">
        <f t="shared" si="5"/>
        <v>0</v>
      </c>
      <c r="P52" s="241"/>
    </row>
    <row r="53" spans="2:16">
      <c r="B53" s="160" t="str">
        <f t="shared" si="7"/>
        <v/>
      </c>
      <c r="C53" s="470">
        <f>IF(D11="","-",+C52+1)</f>
        <v>2053</v>
      </c>
      <c r="D53" s="481">
        <f>IF(F52+SUM(E$17:E52)=D$10,F52,D$10-SUM(E$17:E52))</f>
        <v>31210.044141716091</v>
      </c>
      <c r="E53" s="482">
        <f t="shared" si="16"/>
        <v>8707.1673684210527</v>
      </c>
      <c r="F53" s="483">
        <f t="shared" si="17"/>
        <v>22502.876773295036</v>
      </c>
      <c r="G53" s="484">
        <f t="shared" si="18"/>
        <v>11761.826218581551</v>
      </c>
      <c r="H53" s="453">
        <f t="shared" si="19"/>
        <v>11761.826218581551</v>
      </c>
      <c r="I53" s="473">
        <f t="shared" si="0"/>
        <v>0</v>
      </c>
      <c r="J53" s="473"/>
      <c r="K53" s="485"/>
      <c r="L53" s="476">
        <f t="shared" si="2"/>
        <v>0</v>
      </c>
      <c r="M53" s="485"/>
      <c r="N53" s="476">
        <f t="shared" si="4"/>
        <v>0</v>
      </c>
      <c r="O53" s="476">
        <f t="shared" si="5"/>
        <v>0</v>
      </c>
      <c r="P53" s="241"/>
    </row>
    <row r="54" spans="2:16">
      <c r="B54" s="160" t="str">
        <f t="shared" si="7"/>
        <v/>
      </c>
      <c r="C54" s="470">
        <f>IF(D11="","-",+C53+1)</f>
        <v>2054</v>
      </c>
      <c r="D54" s="481">
        <f>IF(F53+SUM(E$17:E53)=D$10,F53,D$10-SUM(E$17:E53))</f>
        <v>22502.876773295036</v>
      </c>
      <c r="E54" s="482">
        <f t="shared" si="16"/>
        <v>8707.1673684210527</v>
      </c>
      <c r="F54" s="483">
        <f t="shared" si="17"/>
        <v>13795.709404873984</v>
      </c>
      <c r="G54" s="484">
        <f t="shared" si="18"/>
        <v>10771.471368810464</v>
      </c>
      <c r="H54" s="453">
        <f t="shared" si="19"/>
        <v>10771.471368810464</v>
      </c>
      <c r="I54" s="473">
        <f t="shared" si="0"/>
        <v>0</v>
      </c>
      <c r="J54" s="473"/>
      <c r="K54" s="485"/>
      <c r="L54" s="476">
        <f t="shared" si="2"/>
        <v>0</v>
      </c>
      <c r="M54" s="485"/>
      <c r="N54" s="476">
        <f t="shared" si="4"/>
        <v>0</v>
      </c>
      <c r="O54" s="476">
        <f t="shared" si="5"/>
        <v>0</v>
      </c>
      <c r="P54" s="241"/>
    </row>
    <row r="55" spans="2:16">
      <c r="B55" s="160" t="str">
        <f t="shared" si="7"/>
        <v/>
      </c>
      <c r="C55" s="470">
        <f>IF(D11="","-",+C54+1)</f>
        <v>2055</v>
      </c>
      <c r="D55" s="481">
        <f>IF(F54+SUM(E$17:E54)=D$10,F54,D$10-SUM(E$17:E54))</f>
        <v>13795.709404873984</v>
      </c>
      <c r="E55" s="482">
        <f t="shared" si="16"/>
        <v>8707.1673684210527</v>
      </c>
      <c r="F55" s="483">
        <f t="shared" si="17"/>
        <v>5088.5420364529309</v>
      </c>
      <c r="G55" s="484">
        <f t="shared" si="18"/>
        <v>9781.1165190393767</v>
      </c>
      <c r="H55" s="453">
        <f t="shared" si="19"/>
        <v>9781.1165190393767</v>
      </c>
      <c r="I55" s="473">
        <f t="shared" si="0"/>
        <v>0</v>
      </c>
      <c r="J55" s="473"/>
      <c r="K55" s="485"/>
      <c r="L55" s="476">
        <f t="shared" si="2"/>
        <v>0</v>
      </c>
      <c r="M55" s="485"/>
      <c r="N55" s="476">
        <f t="shared" si="4"/>
        <v>0</v>
      </c>
      <c r="O55" s="476">
        <f t="shared" si="5"/>
        <v>0</v>
      </c>
      <c r="P55" s="241"/>
    </row>
    <row r="56" spans="2:16">
      <c r="B56" s="160" t="str">
        <f t="shared" si="7"/>
        <v/>
      </c>
      <c r="C56" s="470">
        <f>IF(D11="","-",+C55+1)</f>
        <v>2056</v>
      </c>
      <c r="D56" s="481">
        <f>IF(F55+SUM(E$17:E55)=D$10,F55,D$10-SUM(E$17:E55))</f>
        <v>5088.5420364529309</v>
      </c>
      <c r="E56" s="482">
        <f t="shared" si="16"/>
        <v>5088.5420364529309</v>
      </c>
      <c r="F56" s="483">
        <f t="shared" si="17"/>
        <v>0</v>
      </c>
      <c r="G56" s="484">
        <f t="shared" si="18"/>
        <v>5377.9278993193211</v>
      </c>
      <c r="H56" s="453">
        <f t="shared" si="19"/>
        <v>5377.9278993193211</v>
      </c>
      <c r="I56" s="473">
        <f t="shared" si="0"/>
        <v>0</v>
      </c>
      <c r="J56" s="473"/>
      <c r="K56" s="485"/>
      <c r="L56" s="476">
        <f t="shared" si="2"/>
        <v>0</v>
      </c>
      <c r="M56" s="485"/>
      <c r="N56" s="476">
        <f t="shared" si="4"/>
        <v>0</v>
      </c>
      <c r="O56" s="476">
        <f t="shared" si="5"/>
        <v>0</v>
      </c>
      <c r="P56" s="241"/>
    </row>
    <row r="57" spans="2:16">
      <c r="B57" s="160" t="str">
        <f t="shared" si="7"/>
        <v/>
      </c>
      <c r="C57" s="470">
        <f>IF(D11="","-",+C56+1)</f>
        <v>2057</v>
      </c>
      <c r="D57" s="481">
        <f>IF(F56+SUM(E$17:E56)=D$10,F56,D$10-SUM(E$17:E56))</f>
        <v>0</v>
      </c>
      <c r="E57" s="482">
        <f t="shared" si="16"/>
        <v>0</v>
      </c>
      <c r="F57" s="483">
        <f t="shared" si="17"/>
        <v>0</v>
      </c>
      <c r="G57" s="484">
        <f t="shared" si="18"/>
        <v>0</v>
      </c>
      <c r="H57" s="453">
        <f t="shared" si="19"/>
        <v>0</v>
      </c>
      <c r="I57" s="473">
        <f t="shared" si="0"/>
        <v>0</v>
      </c>
      <c r="J57" s="473"/>
      <c r="K57" s="485"/>
      <c r="L57" s="476">
        <f t="shared" si="2"/>
        <v>0</v>
      </c>
      <c r="M57" s="485"/>
      <c r="N57" s="476">
        <f t="shared" si="4"/>
        <v>0</v>
      </c>
      <c r="O57" s="476">
        <f t="shared" si="5"/>
        <v>0</v>
      </c>
      <c r="P57" s="241"/>
    </row>
    <row r="58" spans="2:16">
      <c r="B58" s="160" t="str">
        <f t="shared" si="7"/>
        <v/>
      </c>
      <c r="C58" s="470">
        <f>IF(D11="","-",+C57+1)</f>
        <v>2058</v>
      </c>
      <c r="D58" s="481">
        <f>IF(F57+SUM(E$17:E57)=D$10,F57,D$10-SUM(E$17:E57))</f>
        <v>0</v>
      </c>
      <c r="E58" s="482">
        <f t="shared" si="16"/>
        <v>0</v>
      </c>
      <c r="F58" s="483">
        <f t="shared" si="17"/>
        <v>0</v>
      </c>
      <c r="G58" s="484">
        <f t="shared" si="18"/>
        <v>0</v>
      </c>
      <c r="H58" s="453">
        <f t="shared" si="19"/>
        <v>0</v>
      </c>
      <c r="I58" s="473">
        <f t="shared" si="0"/>
        <v>0</v>
      </c>
      <c r="J58" s="473"/>
      <c r="K58" s="485"/>
      <c r="L58" s="476">
        <f t="shared" si="2"/>
        <v>0</v>
      </c>
      <c r="M58" s="485"/>
      <c r="N58" s="476">
        <f t="shared" si="4"/>
        <v>0</v>
      </c>
      <c r="O58" s="476">
        <f t="shared" si="5"/>
        <v>0</v>
      </c>
      <c r="P58" s="241"/>
    </row>
    <row r="59" spans="2:16">
      <c r="B59" s="160" t="str">
        <f t="shared" si="7"/>
        <v/>
      </c>
      <c r="C59" s="470">
        <f>IF(D11="","-",+C58+1)</f>
        <v>2059</v>
      </c>
      <c r="D59" s="481">
        <f>IF(F58+SUM(E$17:E58)=D$10,F58,D$10-SUM(E$17:E58))</f>
        <v>0</v>
      </c>
      <c r="E59" s="482">
        <f t="shared" si="16"/>
        <v>0</v>
      </c>
      <c r="F59" s="483">
        <f t="shared" si="17"/>
        <v>0</v>
      </c>
      <c r="G59" s="484">
        <f t="shared" si="18"/>
        <v>0</v>
      </c>
      <c r="H59" s="453">
        <f t="shared" si="19"/>
        <v>0</v>
      </c>
      <c r="I59" s="473">
        <f t="shared" si="0"/>
        <v>0</v>
      </c>
      <c r="J59" s="473"/>
      <c r="K59" s="485"/>
      <c r="L59" s="476">
        <f t="shared" si="2"/>
        <v>0</v>
      </c>
      <c r="M59" s="485"/>
      <c r="N59" s="476">
        <f t="shared" si="4"/>
        <v>0</v>
      </c>
      <c r="O59" s="476">
        <f t="shared" si="5"/>
        <v>0</v>
      </c>
      <c r="P59" s="241"/>
    </row>
    <row r="60" spans="2:16">
      <c r="B60" s="160" t="str">
        <f t="shared" si="7"/>
        <v/>
      </c>
      <c r="C60" s="470">
        <f>IF(D11="","-",+C59+1)</f>
        <v>2060</v>
      </c>
      <c r="D60" s="481">
        <f>IF(F59+SUM(E$17:E59)=D$10,F59,D$10-SUM(E$17:E59))</f>
        <v>0</v>
      </c>
      <c r="E60" s="482">
        <f t="shared" si="16"/>
        <v>0</v>
      </c>
      <c r="F60" s="483">
        <f t="shared" si="17"/>
        <v>0</v>
      </c>
      <c r="G60" s="484">
        <f t="shared" si="18"/>
        <v>0</v>
      </c>
      <c r="H60" s="453">
        <f t="shared" si="19"/>
        <v>0</v>
      </c>
      <c r="I60" s="473">
        <f t="shared" si="0"/>
        <v>0</v>
      </c>
      <c r="J60" s="473"/>
      <c r="K60" s="485"/>
      <c r="L60" s="476">
        <f t="shared" si="2"/>
        <v>0</v>
      </c>
      <c r="M60" s="485"/>
      <c r="N60" s="476">
        <f t="shared" si="4"/>
        <v>0</v>
      </c>
      <c r="O60" s="476">
        <f t="shared" si="5"/>
        <v>0</v>
      </c>
      <c r="P60" s="241"/>
    </row>
    <row r="61" spans="2:16">
      <c r="B61" s="160" t="str">
        <f t="shared" si="7"/>
        <v/>
      </c>
      <c r="C61" s="470">
        <f>IF(D11="","-",+C60+1)</f>
        <v>2061</v>
      </c>
      <c r="D61" s="481">
        <f>IF(F60+SUM(E$17:E60)=D$10,F60,D$10-SUM(E$17:E60))</f>
        <v>0</v>
      </c>
      <c r="E61" s="482">
        <f t="shared" si="16"/>
        <v>0</v>
      </c>
      <c r="F61" s="483">
        <f t="shared" si="17"/>
        <v>0</v>
      </c>
      <c r="G61" s="484">
        <f t="shared" si="18"/>
        <v>0</v>
      </c>
      <c r="H61" s="453">
        <f t="shared" si="19"/>
        <v>0</v>
      </c>
      <c r="I61" s="473">
        <f t="shared" si="0"/>
        <v>0</v>
      </c>
      <c r="J61" s="473"/>
      <c r="K61" s="485"/>
      <c r="L61" s="476">
        <f t="shared" si="2"/>
        <v>0</v>
      </c>
      <c r="M61" s="485"/>
      <c r="N61" s="476">
        <f t="shared" si="4"/>
        <v>0</v>
      </c>
      <c r="O61" s="476">
        <f t="shared" si="5"/>
        <v>0</v>
      </c>
      <c r="P61" s="241"/>
    </row>
    <row r="62" spans="2:16">
      <c r="B62" s="160" t="str">
        <f t="shared" si="7"/>
        <v/>
      </c>
      <c r="C62" s="470">
        <f>IF(D11="","-",+C61+1)</f>
        <v>2062</v>
      </c>
      <c r="D62" s="481">
        <f>IF(F61+SUM(E$17:E61)=D$10,F61,D$10-SUM(E$17:E61))</f>
        <v>0</v>
      </c>
      <c r="E62" s="482">
        <f t="shared" si="16"/>
        <v>0</v>
      </c>
      <c r="F62" s="483">
        <f t="shared" si="17"/>
        <v>0</v>
      </c>
      <c r="G62" s="484">
        <f t="shared" si="18"/>
        <v>0</v>
      </c>
      <c r="H62" s="453">
        <f t="shared" si="19"/>
        <v>0</v>
      </c>
      <c r="I62" s="473">
        <f t="shared" si="0"/>
        <v>0</v>
      </c>
      <c r="J62" s="473"/>
      <c r="K62" s="485"/>
      <c r="L62" s="476">
        <f t="shared" si="2"/>
        <v>0</v>
      </c>
      <c r="M62" s="485"/>
      <c r="N62" s="476">
        <f t="shared" si="4"/>
        <v>0</v>
      </c>
      <c r="O62" s="476">
        <f t="shared" si="5"/>
        <v>0</v>
      </c>
      <c r="P62" s="241"/>
    </row>
    <row r="63" spans="2:16">
      <c r="B63" s="160" t="str">
        <f t="shared" si="7"/>
        <v/>
      </c>
      <c r="C63" s="470">
        <f>IF(D11="","-",+C62+1)</f>
        <v>2063</v>
      </c>
      <c r="D63" s="481">
        <f>IF(F62+SUM(E$17:E62)=D$10,F62,D$10-SUM(E$17:E62))</f>
        <v>0</v>
      </c>
      <c r="E63" s="482">
        <f t="shared" si="16"/>
        <v>0</v>
      </c>
      <c r="F63" s="483">
        <f t="shared" si="17"/>
        <v>0</v>
      </c>
      <c r="G63" s="484">
        <f t="shared" si="18"/>
        <v>0</v>
      </c>
      <c r="H63" s="453">
        <f t="shared" si="19"/>
        <v>0</v>
      </c>
      <c r="I63" s="473">
        <f t="shared" si="0"/>
        <v>0</v>
      </c>
      <c r="J63" s="473"/>
      <c r="K63" s="485"/>
      <c r="L63" s="476">
        <f t="shared" si="2"/>
        <v>0</v>
      </c>
      <c r="M63" s="485"/>
      <c r="N63" s="476">
        <f t="shared" si="4"/>
        <v>0</v>
      </c>
      <c r="O63" s="476">
        <f t="shared" si="5"/>
        <v>0</v>
      </c>
      <c r="P63" s="241"/>
    </row>
    <row r="64" spans="2:16">
      <c r="B64" s="160" t="str">
        <f t="shared" si="7"/>
        <v/>
      </c>
      <c r="C64" s="470">
        <f>IF(D11="","-",+C63+1)</f>
        <v>2064</v>
      </c>
      <c r="D64" s="481">
        <f>IF(F63+SUM(E$17:E63)=D$10,F63,D$10-SUM(E$17:E63))</f>
        <v>0</v>
      </c>
      <c r="E64" s="482">
        <f t="shared" si="16"/>
        <v>0</v>
      </c>
      <c r="F64" s="483">
        <f t="shared" si="17"/>
        <v>0</v>
      </c>
      <c r="G64" s="484">
        <f t="shared" si="18"/>
        <v>0</v>
      </c>
      <c r="H64" s="453">
        <f t="shared" si="19"/>
        <v>0</v>
      </c>
      <c r="I64" s="473">
        <f t="shared" si="0"/>
        <v>0</v>
      </c>
      <c r="J64" s="473"/>
      <c r="K64" s="485"/>
      <c r="L64" s="476">
        <f t="shared" si="2"/>
        <v>0</v>
      </c>
      <c r="M64" s="485"/>
      <c r="N64" s="476">
        <f t="shared" si="4"/>
        <v>0</v>
      </c>
      <c r="O64" s="476">
        <f t="shared" si="5"/>
        <v>0</v>
      </c>
      <c r="P64" s="241"/>
    </row>
    <row r="65" spans="2:16">
      <c r="B65" s="160" t="str">
        <f t="shared" si="7"/>
        <v/>
      </c>
      <c r="C65" s="470">
        <f>IF(D11="","-",+C64+1)</f>
        <v>2065</v>
      </c>
      <c r="D65" s="481">
        <f>IF(F64+SUM(E$17:E64)=D$10,F64,D$10-SUM(E$17:E64))</f>
        <v>0</v>
      </c>
      <c r="E65" s="482">
        <f t="shared" si="16"/>
        <v>0</v>
      </c>
      <c r="F65" s="483">
        <f t="shared" si="17"/>
        <v>0</v>
      </c>
      <c r="G65" s="484">
        <f t="shared" si="18"/>
        <v>0</v>
      </c>
      <c r="H65" s="453">
        <f t="shared" si="19"/>
        <v>0</v>
      </c>
      <c r="I65" s="473">
        <f t="shared" si="0"/>
        <v>0</v>
      </c>
      <c r="J65" s="473"/>
      <c r="K65" s="485"/>
      <c r="L65" s="476">
        <f t="shared" si="2"/>
        <v>0</v>
      </c>
      <c r="M65" s="485"/>
      <c r="N65" s="476">
        <f t="shared" si="4"/>
        <v>0</v>
      </c>
      <c r="O65" s="476">
        <f t="shared" si="5"/>
        <v>0</v>
      </c>
      <c r="P65" s="241"/>
    </row>
    <row r="66" spans="2:16">
      <c r="B66" s="160" t="str">
        <f t="shared" si="7"/>
        <v/>
      </c>
      <c r="C66" s="470">
        <f>IF(D11="","-",+C65+1)</f>
        <v>2066</v>
      </c>
      <c r="D66" s="481">
        <f>IF(F65+SUM(E$17:E65)=D$10,F65,D$10-SUM(E$17:E65))</f>
        <v>0</v>
      </c>
      <c r="E66" s="482">
        <f t="shared" si="16"/>
        <v>0</v>
      </c>
      <c r="F66" s="483">
        <f t="shared" si="17"/>
        <v>0</v>
      </c>
      <c r="G66" s="484">
        <f t="shared" si="18"/>
        <v>0</v>
      </c>
      <c r="H66" s="453">
        <f t="shared" si="19"/>
        <v>0</v>
      </c>
      <c r="I66" s="473">
        <f t="shared" si="0"/>
        <v>0</v>
      </c>
      <c r="J66" s="473"/>
      <c r="K66" s="485"/>
      <c r="L66" s="476">
        <f t="shared" si="2"/>
        <v>0</v>
      </c>
      <c r="M66" s="485"/>
      <c r="N66" s="476">
        <f t="shared" si="4"/>
        <v>0</v>
      </c>
      <c r="O66" s="476">
        <f t="shared" si="5"/>
        <v>0</v>
      </c>
      <c r="P66" s="241"/>
    </row>
    <row r="67" spans="2:16">
      <c r="B67" s="160" t="str">
        <f t="shared" si="7"/>
        <v/>
      </c>
      <c r="C67" s="470">
        <f>IF(D11="","-",+C66+1)</f>
        <v>2067</v>
      </c>
      <c r="D67" s="481">
        <f>IF(F66+SUM(E$17:E66)=D$10,F66,D$10-SUM(E$17:E66))</f>
        <v>0</v>
      </c>
      <c r="E67" s="482">
        <f t="shared" si="16"/>
        <v>0</v>
      </c>
      <c r="F67" s="483">
        <f t="shared" si="17"/>
        <v>0</v>
      </c>
      <c r="G67" s="484">
        <f t="shared" si="18"/>
        <v>0</v>
      </c>
      <c r="H67" s="453">
        <f t="shared" si="19"/>
        <v>0</v>
      </c>
      <c r="I67" s="473">
        <f t="shared" si="0"/>
        <v>0</v>
      </c>
      <c r="J67" s="473"/>
      <c r="K67" s="485"/>
      <c r="L67" s="476">
        <f t="shared" si="2"/>
        <v>0</v>
      </c>
      <c r="M67" s="485"/>
      <c r="N67" s="476">
        <f t="shared" si="4"/>
        <v>0</v>
      </c>
      <c r="O67" s="476">
        <f t="shared" si="5"/>
        <v>0</v>
      </c>
      <c r="P67" s="241"/>
    </row>
    <row r="68" spans="2:16">
      <c r="B68" s="160" t="str">
        <f t="shared" si="7"/>
        <v/>
      </c>
      <c r="C68" s="470">
        <f>IF(D11="","-",+C67+1)</f>
        <v>2068</v>
      </c>
      <c r="D68" s="481">
        <f>IF(F67+SUM(E$17:E67)=D$10,F67,D$10-SUM(E$17:E67))</f>
        <v>0</v>
      </c>
      <c r="E68" s="482">
        <f t="shared" si="16"/>
        <v>0</v>
      </c>
      <c r="F68" s="483">
        <f t="shared" si="17"/>
        <v>0</v>
      </c>
      <c r="G68" s="484">
        <f t="shared" si="18"/>
        <v>0</v>
      </c>
      <c r="H68" s="453">
        <f t="shared" si="19"/>
        <v>0</v>
      </c>
      <c r="I68" s="473">
        <f t="shared" si="0"/>
        <v>0</v>
      </c>
      <c r="J68" s="473"/>
      <c r="K68" s="485"/>
      <c r="L68" s="476">
        <f t="shared" si="2"/>
        <v>0</v>
      </c>
      <c r="M68" s="485"/>
      <c r="N68" s="476">
        <f t="shared" si="4"/>
        <v>0</v>
      </c>
      <c r="O68" s="476">
        <f t="shared" si="5"/>
        <v>0</v>
      </c>
      <c r="P68" s="241"/>
    </row>
    <row r="69" spans="2:16">
      <c r="B69" s="160" t="str">
        <f t="shared" si="7"/>
        <v/>
      </c>
      <c r="C69" s="470">
        <f>IF(D11="","-",+C68+1)</f>
        <v>2069</v>
      </c>
      <c r="D69" s="481">
        <f>IF(F68+SUM(E$17:E68)=D$10,F68,D$10-SUM(E$17:E68))</f>
        <v>0</v>
      </c>
      <c r="E69" s="482">
        <f t="shared" si="16"/>
        <v>0</v>
      </c>
      <c r="F69" s="483">
        <f t="shared" si="17"/>
        <v>0</v>
      </c>
      <c r="G69" s="484">
        <f t="shared" si="18"/>
        <v>0</v>
      </c>
      <c r="H69" s="453">
        <f t="shared" si="19"/>
        <v>0</v>
      </c>
      <c r="I69" s="473">
        <f t="shared" si="0"/>
        <v>0</v>
      </c>
      <c r="J69" s="473"/>
      <c r="K69" s="485"/>
      <c r="L69" s="476">
        <f t="shared" si="2"/>
        <v>0</v>
      </c>
      <c r="M69" s="485"/>
      <c r="N69" s="476">
        <f t="shared" si="4"/>
        <v>0</v>
      </c>
      <c r="O69" s="476">
        <f t="shared" si="5"/>
        <v>0</v>
      </c>
      <c r="P69" s="241"/>
    </row>
    <row r="70" spans="2:16">
      <c r="B70" s="160" t="str">
        <f t="shared" si="7"/>
        <v/>
      </c>
      <c r="C70" s="470">
        <f>IF(D11="","-",+C69+1)</f>
        <v>2070</v>
      </c>
      <c r="D70" s="481">
        <f>IF(F69+SUM(E$17:E69)=D$10,F69,D$10-SUM(E$17:E69))</f>
        <v>0</v>
      </c>
      <c r="E70" s="482">
        <f t="shared" si="16"/>
        <v>0</v>
      </c>
      <c r="F70" s="483">
        <f t="shared" si="17"/>
        <v>0</v>
      </c>
      <c r="G70" s="484">
        <f t="shared" si="18"/>
        <v>0</v>
      </c>
      <c r="H70" s="453">
        <f t="shared" si="19"/>
        <v>0</v>
      </c>
      <c r="I70" s="473">
        <f t="shared" si="0"/>
        <v>0</v>
      </c>
      <c r="J70" s="473"/>
      <c r="K70" s="485"/>
      <c r="L70" s="476">
        <f t="shared" si="2"/>
        <v>0</v>
      </c>
      <c r="M70" s="485"/>
      <c r="N70" s="476">
        <f t="shared" si="4"/>
        <v>0</v>
      </c>
      <c r="O70" s="476">
        <f t="shared" si="5"/>
        <v>0</v>
      </c>
      <c r="P70" s="241"/>
    </row>
    <row r="71" spans="2:16">
      <c r="B71" s="160" t="str">
        <f t="shared" si="7"/>
        <v/>
      </c>
      <c r="C71" s="470">
        <f>IF(D11="","-",+C70+1)</f>
        <v>2071</v>
      </c>
      <c r="D71" s="481">
        <f>IF(F70+SUM(E$17:E70)=D$10,F70,D$10-SUM(E$17:E70))</f>
        <v>0</v>
      </c>
      <c r="E71" s="482">
        <f t="shared" si="16"/>
        <v>0</v>
      </c>
      <c r="F71" s="483">
        <f t="shared" si="17"/>
        <v>0</v>
      </c>
      <c r="G71" s="484">
        <f t="shared" si="18"/>
        <v>0</v>
      </c>
      <c r="H71" s="453">
        <f t="shared" si="19"/>
        <v>0</v>
      </c>
      <c r="I71" s="473">
        <f t="shared" si="0"/>
        <v>0</v>
      </c>
      <c r="J71" s="473"/>
      <c r="K71" s="485"/>
      <c r="L71" s="476">
        <f t="shared" si="2"/>
        <v>0</v>
      </c>
      <c r="M71" s="485"/>
      <c r="N71" s="476">
        <f t="shared" si="4"/>
        <v>0</v>
      </c>
      <c r="O71" s="476">
        <f t="shared" si="5"/>
        <v>0</v>
      </c>
      <c r="P71" s="241"/>
    </row>
    <row r="72" spans="2:16" ht="13.5" thickBot="1">
      <c r="B72" s="160" t="str">
        <f t="shared" si="7"/>
        <v/>
      </c>
      <c r="C72" s="487">
        <f>IF(D11="","-",+C71+1)</f>
        <v>2072</v>
      </c>
      <c r="D72" s="610">
        <f>IF(F71+SUM(E$17:E71)=D$10,F71,D$10-SUM(E$17:E71))</f>
        <v>0</v>
      </c>
      <c r="E72" s="489">
        <f t="shared" si="16"/>
        <v>0</v>
      </c>
      <c r="F72" s="488">
        <f t="shared" si="17"/>
        <v>0</v>
      </c>
      <c r="G72" s="542">
        <f t="shared" si="18"/>
        <v>0</v>
      </c>
      <c r="H72" s="433">
        <f t="shared" si="19"/>
        <v>0</v>
      </c>
      <c r="I72" s="491">
        <f t="shared" si="0"/>
        <v>0</v>
      </c>
      <c r="J72" s="473"/>
      <c r="K72" s="492"/>
      <c r="L72" s="493">
        <f t="shared" si="2"/>
        <v>0</v>
      </c>
      <c r="M72" s="492"/>
      <c r="N72" s="493">
        <f t="shared" si="4"/>
        <v>0</v>
      </c>
      <c r="O72" s="493">
        <f t="shared" si="5"/>
        <v>0</v>
      </c>
      <c r="P72" s="241"/>
    </row>
    <row r="73" spans="2:16">
      <c r="C73" s="345" t="s">
        <v>77</v>
      </c>
      <c r="D73" s="346"/>
      <c r="E73" s="346">
        <f>SUM(E17:E72)</f>
        <v>330872.35999999987</v>
      </c>
      <c r="F73" s="346"/>
      <c r="G73" s="346">
        <f>SUM(G17:G72)</f>
        <v>1064654.3394794546</v>
      </c>
      <c r="H73" s="346">
        <f>SUM(H17:H72)</f>
        <v>1064654.3394794546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21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39805.169882695685</v>
      </c>
      <c r="N87" s="506">
        <f>IF(J92&lt;D11,0,VLOOKUP(J92,C17:O72,11))</f>
        <v>39805.169882695685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40602.794226516286</v>
      </c>
      <c r="N88" s="510">
        <f>IF(J92&lt;D11,0,VLOOKUP(J92,C99:P154,7))</f>
        <v>40602.794226516286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Darlington-Roman Nose 138 kV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797.62434382060019</v>
      </c>
      <c r="N89" s="515">
        <f>+N88-N87</f>
        <v>797.62434382060019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TP2015027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524">
        <v>330872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f>IF(D11=I10,"",D11)</f>
        <v>2017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f>IF(D11=I10,"",D12)</f>
        <v>6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8070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2017</v>
      </c>
      <c r="D99" s="582">
        <v>0</v>
      </c>
      <c r="E99" s="606">
        <v>3596</v>
      </c>
      <c r="F99" s="582">
        <v>327228</v>
      </c>
      <c r="G99" s="606">
        <v>163614</v>
      </c>
      <c r="H99" s="585">
        <v>24350.848452847567</v>
      </c>
      <c r="I99" s="605">
        <v>24350.848452847567</v>
      </c>
      <c r="J99" s="476">
        <f t="shared" ref="J99:J130" si="20">+I99-H99</f>
        <v>0</v>
      </c>
      <c r="K99" s="476"/>
      <c r="L99" s="475">
        <f>+H99</f>
        <v>24350.848452847567</v>
      </c>
      <c r="M99" s="475">
        <f t="shared" ref="M99:M130" si="21">IF(L99&lt;&gt;0,+H99-L99,0)</f>
        <v>0</v>
      </c>
      <c r="N99" s="475">
        <f>+I99</f>
        <v>24350.848452847567</v>
      </c>
      <c r="O99" s="475">
        <f t="shared" ref="O99:O130" si="22">IF(N99&lt;&gt;0,+I99-N99,0)</f>
        <v>0</v>
      </c>
      <c r="P99" s="475">
        <f t="shared" ref="P99:P130" si="23">+O99-M99</f>
        <v>0</v>
      </c>
    </row>
    <row r="100" spans="1:16">
      <c r="B100" s="160" t="str">
        <f>IF(D100=F99,"","IU")</f>
        <v/>
      </c>
      <c r="C100" s="470">
        <f>IF(D93="","-",+C99+1)</f>
        <v>2018</v>
      </c>
      <c r="D100" s="576">
        <v>327228</v>
      </c>
      <c r="E100" s="577">
        <v>7694</v>
      </c>
      <c r="F100" s="576">
        <v>319534</v>
      </c>
      <c r="G100" s="577">
        <v>323381</v>
      </c>
      <c r="H100" s="600">
        <v>40916.73033605556</v>
      </c>
      <c r="I100" s="576">
        <v>40916.73033605556</v>
      </c>
      <c r="J100" s="476">
        <f t="shared" si="20"/>
        <v>0</v>
      </c>
      <c r="K100" s="476"/>
      <c r="L100" s="474">
        <f>H100</f>
        <v>40916.73033605556</v>
      </c>
      <c r="M100" s="347">
        <f>IF(L100&lt;&gt;0,+H100-L100,0)</f>
        <v>0</v>
      </c>
      <c r="N100" s="474">
        <f>I100</f>
        <v>40916.73033605556</v>
      </c>
      <c r="O100" s="473">
        <f>IF(N100&lt;&gt;0,+I100-N100,0)</f>
        <v>0</v>
      </c>
      <c r="P100" s="476">
        <f>+O100-M100</f>
        <v>0</v>
      </c>
    </row>
    <row r="101" spans="1:16">
      <c r="B101" s="160" t="str">
        <f t="shared" ref="B101:B154" si="24">IF(D101=F100,"","IU")</f>
        <v>IU</v>
      </c>
      <c r="C101" s="470">
        <f>IF(D93="","-",+C100+1)</f>
        <v>2019</v>
      </c>
      <c r="D101" s="576">
        <v>319582</v>
      </c>
      <c r="E101" s="577">
        <v>8070</v>
      </c>
      <c r="F101" s="576">
        <v>311512</v>
      </c>
      <c r="G101" s="577">
        <v>315547</v>
      </c>
      <c r="H101" s="600">
        <v>40607.321587664657</v>
      </c>
      <c r="I101" s="576">
        <v>40607.321587664657</v>
      </c>
      <c r="J101" s="476">
        <f t="shared" si="20"/>
        <v>0</v>
      </c>
      <c r="K101" s="476"/>
      <c r="L101" s="474">
        <f>H101</f>
        <v>40607.321587664657</v>
      </c>
      <c r="M101" s="347">
        <f>IF(L101&lt;&gt;0,+H101-L101,0)</f>
        <v>0</v>
      </c>
      <c r="N101" s="474">
        <f>I101</f>
        <v>40607.321587664657</v>
      </c>
      <c r="O101" s="476">
        <f t="shared" si="22"/>
        <v>0</v>
      </c>
      <c r="P101" s="476">
        <f t="shared" si="23"/>
        <v>0</v>
      </c>
    </row>
    <row r="102" spans="1:16">
      <c r="B102" s="160" t="str">
        <f t="shared" si="24"/>
        <v/>
      </c>
      <c r="C102" s="470">
        <f>IF(D93="","-",+C101+1)</f>
        <v>2020</v>
      </c>
      <c r="D102" s="576">
        <v>311512</v>
      </c>
      <c r="E102" s="577">
        <v>7695</v>
      </c>
      <c r="F102" s="576">
        <v>303817</v>
      </c>
      <c r="G102" s="577">
        <v>307664.5</v>
      </c>
      <c r="H102" s="600">
        <v>43167.870996202138</v>
      </c>
      <c r="I102" s="576">
        <v>43167.870996202138</v>
      </c>
      <c r="J102" s="476">
        <f t="shared" si="20"/>
        <v>0</v>
      </c>
      <c r="K102" s="476"/>
      <c r="L102" s="474">
        <f>H102</f>
        <v>43167.870996202138</v>
      </c>
      <c r="M102" s="347">
        <f>IF(L102&lt;&gt;0,+H102-L102,0)</f>
        <v>0</v>
      </c>
      <c r="N102" s="474">
        <f>I102</f>
        <v>43167.870996202138</v>
      </c>
      <c r="O102" s="476">
        <f t="shared" si="22"/>
        <v>0</v>
      </c>
      <c r="P102" s="476">
        <f t="shared" si="23"/>
        <v>0</v>
      </c>
    </row>
    <row r="103" spans="1:16">
      <c r="B103" s="160" t="str">
        <f t="shared" si="24"/>
        <v/>
      </c>
      <c r="C103" s="470">
        <f>IF(D93="","-",+C102+1)</f>
        <v>2021</v>
      </c>
      <c r="D103" s="576">
        <v>303817</v>
      </c>
      <c r="E103" s="577">
        <v>8070</v>
      </c>
      <c r="F103" s="576">
        <v>295747</v>
      </c>
      <c r="G103" s="577">
        <v>299782</v>
      </c>
      <c r="H103" s="600">
        <v>42183.031080558285</v>
      </c>
      <c r="I103" s="576">
        <v>42183.031080558285</v>
      </c>
      <c r="J103" s="476">
        <f t="shared" si="20"/>
        <v>0</v>
      </c>
      <c r="K103" s="476"/>
      <c r="L103" s="474">
        <f>H103</f>
        <v>42183.031080558285</v>
      </c>
      <c r="M103" s="347">
        <f>IF(L103&lt;&gt;0,+H103-L103,0)</f>
        <v>0</v>
      </c>
      <c r="N103" s="474">
        <f>I103</f>
        <v>42183.031080558285</v>
      </c>
      <c r="O103" s="476">
        <f t="shared" ref="O103" si="25">IF(N103&lt;&gt;0,+I103-N103,0)</f>
        <v>0</v>
      </c>
      <c r="P103" s="476">
        <f t="shared" ref="P103" si="26">+O103-M103</f>
        <v>0</v>
      </c>
    </row>
    <row r="104" spans="1:16">
      <c r="B104" s="160" t="str">
        <f t="shared" si="24"/>
        <v/>
      </c>
      <c r="C104" s="631">
        <f>IF(D93="","-",+C103+1)</f>
        <v>2022</v>
      </c>
      <c r="D104" s="345">
        <v>295747</v>
      </c>
      <c r="E104" s="482">
        <v>8484</v>
      </c>
      <c r="F104" s="483">
        <v>287263</v>
      </c>
      <c r="G104" s="483">
        <v>291505</v>
      </c>
      <c r="H104" s="611">
        <v>40602.794226516286</v>
      </c>
      <c r="I104" s="612">
        <v>40602.794226516286</v>
      </c>
      <c r="J104" s="476">
        <f t="shared" si="20"/>
        <v>0</v>
      </c>
      <c r="K104" s="476"/>
      <c r="L104" s="485"/>
      <c r="M104" s="476">
        <f t="shared" si="21"/>
        <v>0</v>
      </c>
      <c r="N104" s="485"/>
      <c r="O104" s="476">
        <f t="shared" si="22"/>
        <v>0</v>
      </c>
      <c r="P104" s="476">
        <f t="shared" si="23"/>
        <v>0</v>
      </c>
    </row>
    <row r="105" spans="1:16">
      <c r="B105" s="160" t="str">
        <f t="shared" si="24"/>
        <v/>
      </c>
      <c r="C105" s="470">
        <f>IF(D93="","-",+C104+1)</f>
        <v>2023</v>
      </c>
      <c r="D105" s="345">
        <f>IF(F104+SUM(E$99:E104)=D$92,F104,D$92-SUM(E$99:E104))</f>
        <v>287263</v>
      </c>
      <c r="E105" s="482">
        <f t="shared" ref="E105:E154" si="27">IF(+J$96&lt;F104,J$96,D105)</f>
        <v>8070</v>
      </c>
      <c r="F105" s="483">
        <f t="shared" ref="F105:F154" si="28">+D105-E105</f>
        <v>279193</v>
      </c>
      <c r="G105" s="483">
        <f t="shared" ref="G105:G154" si="29">+(F105+D105)/2</f>
        <v>283228</v>
      </c>
      <c r="H105" s="611">
        <f t="shared" ref="H105:H154" si="30">+J$94*G105+E105</f>
        <v>40299.305184715427</v>
      </c>
      <c r="I105" s="612">
        <f t="shared" ref="I105:I154" si="31">+J$95*G105+E105</f>
        <v>40299.305184715427</v>
      </c>
      <c r="J105" s="476">
        <f t="shared" si="20"/>
        <v>0</v>
      </c>
      <c r="K105" s="476"/>
      <c r="L105" s="485"/>
      <c r="M105" s="476">
        <f t="shared" si="21"/>
        <v>0</v>
      </c>
      <c r="N105" s="485"/>
      <c r="O105" s="476">
        <f t="shared" si="22"/>
        <v>0</v>
      </c>
      <c r="P105" s="476">
        <f t="shared" si="23"/>
        <v>0</v>
      </c>
    </row>
    <row r="106" spans="1:16">
      <c r="B106" s="160" t="str">
        <f t="shared" si="24"/>
        <v/>
      </c>
      <c r="C106" s="470">
        <f>IF(D93="","-",+C105+1)</f>
        <v>2024</v>
      </c>
      <c r="D106" s="345">
        <f>IF(F105+SUM(E$99:E105)=D$92,F105,D$92-SUM(E$99:E105))</f>
        <v>279193</v>
      </c>
      <c r="E106" s="482">
        <f t="shared" si="27"/>
        <v>8070</v>
      </c>
      <c r="F106" s="483">
        <f t="shared" si="28"/>
        <v>271123</v>
      </c>
      <c r="G106" s="483">
        <f t="shared" si="29"/>
        <v>275158</v>
      </c>
      <c r="H106" s="611">
        <f t="shared" si="30"/>
        <v>39380.997344951516</v>
      </c>
      <c r="I106" s="612">
        <f t="shared" si="31"/>
        <v>39380.997344951516</v>
      </c>
      <c r="J106" s="476">
        <f t="shared" si="20"/>
        <v>0</v>
      </c>
      <c r="K106" s="476"/>
      <c r="L106" s="485"/>
      <c r="M106" s="476">
        <f t="shared" si="21"/>
        <v>0</v>
      </c>
      <c r="N106" s="485"/>
      <c r="O106" s="476">
        <f t="shared" si="22"/>
        <v>0</v>
      </c>
      <c r="P106" s="476">
        <f t="shared" si="23"/>
        <v>0</v>
      </c>
    </row>
    <row r="107" spans="1:16">
      <c r="B107" s="160" t="str">
        <f t="shared" si="24"/>
        <v/>
      </c>
      <c r="C107" s="470">
        <f>IF(D93="","-",+C106+1)</f>
        <v>2025</v>
      </c>
      <c r="D107" s="345">
        <f>IF(F106+SUM(E$99:E106)=D$92,F106,D$92-SUM(E$99:E106))</f>
        <v>271123</v>
      </c>
      <c r="E107" s="482">
        <f t="shared" si="27"/>
        <v>8070</v>
      </c>
      <c r="F107" s="483">
        <f t="shared" si="28"/>
        <v>263053</v>
      </c>
      <c r="G107" s="483">
        <f t="shared" si="29"/>
        <v>267088</v>
      </c>
      <c r="H107" s="611">
        <f t="shared" si="30"/>
        <v>38462.689505187605</v>
      </c>
      <c r="I107" s="612">
        <f t="shared" si="31"/>
        <v>38462.689505187605</v>
      </c>
      <c r="J107" s="476">
        <f t="shared" si="20"/>
        <v>0</v>
      </c>
      <c r="K107" s="476"/>
      <c r="L107" s="485"/>
      <c r="M107" s="476">
        <f t="shared" si="21"/>
        <v>0</v>
      </c>
      <c r="N107" s="485"/>
      <c r="O107" s="476">
        <f t="shared" si="22"/>
        <v>0</v>
      </c>
      <c r="P107" s="476">
        <f t="shared" si="23"/>
        <v>0</v>
      </c>
    </row>
    <row r="108" spans="1:16">
      <c r="B108" s="160" t="str">
        <f t="shared" si="24"/>
        <v/>
      </c>
      <c r="C108" s="470">
        <f>IF(D93="","-",+C107+1)</f>
        <v>2026</v>
      </c>
      <c r="D108" s="345">
        <f>IF(F107+SUM(E$99:E107)=D$92,F107,D$92-SUM(E$99:E107))</f>
        <v>263053</v>
      </c>
      <c r="E108" s="482">
        <f t="shared" si="27"/>
        <v>8070</v>
      </c>
      <c r="F108" s="483">
        <f t="shared" si="28"/>
        <v>254983</v>
      </c>
      <c r="G108" s="483">
        <f t="shared" si="29"/>
        <v>259018</v>
      </c>
      <c r="H108" s="611">
        <f t="shared" si="30"/>
        <v>37544.381665423687</v>
      </c>
      <c r="I108" s="612">
        <f t="shared" si="31"/>
        <v>37544.381665423687</v>
      </c>
      <c r="J108" s="476">
        <f t="shared" si="20"/>
        <v>0</v>
      </c>
      <c r="K108" s="476"/>
      <c r="L108" s="485"/>
      <c r="M108" s="476">
        <f t="shared" si="21"/>
        <v>0</v>
      </c>
      <c r="N108" s="485"/>
      <c r="O108" s="476">
        <f t="shared" si="22"/>
        <v>0</v>
      </c>
      <c r="P108" s="476">
        <f t="shared" si="23"/>
        <v>0</v>
      </c>
    </row>
    <row r="109" spans="1:16">
      <c r="B109" s="160" t="str">
        <f t="shared" si="24"/>
        <v/>
      </c>
      <c r="C109" s="470">
        <f>IF(D93="","-",+C108+1)</f>
        <v>2027</v>
      </c>
      <c r="D109" s="345">
        <f>IF(F108+SUM(E$99:E108)=D$92,F108,D$92-SUM(E$99:E108))</f>
        <v>254983</v>
      </c>
      <c r="E109" s="482">
        <f t="shared" si="27"/>
        <v>8070</v>
      </c>
      <c r="F109" s="483">
        <f t="shared" si="28"/>
        <v>246913</v>
      </c>
      <c r="G109" s="483">
        <f t="shared" si="29"/>
        <v>250948</v>
      </c>
      <c r="H109" s="611">
        <f t="shared" si="30"/>
        <v>36626.073825659783</v>
      </c>
      <c r="I109" s="612">
        <f t="shared" si="31"/>
        <v>36626.073825659783</v>
      </c>
      <c r="J109" s="476">
        <f t="shared" si="20"/>
        <v>0</v>
      </c>
      <c r="K109" s="476"/>
      <c r="L109" s="485"/>
      <c r="M109" s="476">
        <f t="shared" si="21"/>
        <v>0</v>
      </c>
      <c r="N109" s="485"/>
      <c r="O109" s="476">
        <f t="shared" si="22"/>
        <v>0</v>
      </c>
      <c r="P109" s="476">
        <f t="shared" si="23"/>
        <v>0</v>
      </c>
    </row>
    <row r="110" spans="1:16">
      <c r="B110" s="160" t="str">
        <f t="shared" si="24"/>
        <v/>
      </c>
      <c r="C110" s="470">
        <f>IF(D93="","-",+C109+1)</f>
        <v>2028</v>
      </c>
      <c r="D110" s="345">
        <f>IF(F109+SUM(E$99:E109)=D$92,F109,D$92-SUM(E$99:E109))</f>
        <v>246913</v>
      </c>
      <c r="E110" s="482">
        <f t="shared" si="27"/>
        <v>8070</v>
      </c>
      <c r="F110" s="483">
        <f t="shared" si="28"/>
        <v>238843</v>
      </c>
      <c r="G110" s="483">
        <f t="shared" si="29"/>
        <v>242878</v>
      </c>
      <c r="H110" s="611">
        <f t="shared" si="30"/>
        <v>35707.765985895865</v>
      </c>
      <c r="I110" s="612">
        <f t="shared" si="31"/>
        <v>35707.765985895865</v>
      </c>
      <c r="J110" s="476">
        <f t="shared" si="20"/>
        <v>0</v>
      </c>
      <c r="K110" s="476"/>
      <c r="L110" s="485"/>
      <c r="M110" s="476">
        <f t="shared" si="21"/>
        <v>0</v>
      </c>
      <c r="N110" s="485"/>
      <c r="O110" s="476">
        <f t="shared" si="22"/>
        <v>0</v>
      </c>
      <c r="P110" s="476">
        <f t="shared" si="23"/>
        <v>0</v>
      </c>
    </row>
    <row r="111" spans="1:16">
      <c r="B111" s="160" t="str">
        <f t="shared" si="24"/>
        <v/>
      </c>
      <c r="C111" s="470">
        <f>IF(D93="","-",+C110+1)</f>
        <v>2029</v>
      </c>
      <c r="D111" s="345">
        <f>IF(F110+SUM(E$99:E110)=D$92,F110,D$92-SUM(E$99:E110))</f>
        <v>238843</v>
      </c>
      <c r="E111" s="482">
        <f t="shared" si="27"/>
        <v>8070</v>
      </c>
      <c r="F111" s="483">
        <f t="shared" si="28"/>
        <v>230773</v>
      </c>
      <c r="G111" s="483">
        <f t="shared" si="29"/>
        <v>234808</v>
      </c>
      <c r="H111" s="611">
        <f t="shared" si="30"/>
        <v>34789.458146131954</v>
      </c>
      <c r="I111" s="612">
        <f t="shared" si="31"/>
        <v>34789.458146131954</v>
      </c>
      <c r="J111" s="476">
        <f t="shared" si="20"/>
        <v>0</v>
      </c>
      <c r="K111" s="476"/>
      <c r="L111" s="485"/>
      <c r="M111" s="476">
        <f t="shared" si="21"/>
        <v>0</v>
      </c>
      <c r="N111" s="485"/>
      <c r="O111" s="476">
        <f t="shared" si="22"/>
        <v>0</v>
      </c>
      <c r="P111" s="476">
        <f t="shared" si="23"/>
        <v>0</v>
      </c>
    </row>
    <row r="112" spans="1:16">
      <c r="B112" s="160" t="str">
        <f t="shared" si="24"/>
        <v/>
      </c>
      <c r="C112" s="470">
        <f>IF(D93="","-",+C111+1)</f>
        <v>2030</v>
      </c>
      <c r="D112" s="345">
        <f>IF(F111+SUM(E$99:E111)=D$92,F111,D$92-SUM(E$99:E111))</f>
        <v>230773</v>
      </c>
      <c r="E112" s="482">
        <f t="shared" si="27"/>
        <v>8070</v>
      </c>
      <c r="F112" s="483">
        <f t="shared" si="28"/>
        <v>222703</v>
      </c>
      <c r="G112" s="483">
        <f t="shared" si="29"/>
        <v>226738</v>
      </c>
      <c r="H112" s="611">
        <f t="shared" si="30"/>
        <v>33871.150306368043</v>
      </c>
      <c r="I112" s="612">
        <f t="shared" si="31"/>
        <v>33871.150306368043</v>
      </c>
      <c r="J112" s="476">
        <f t="shared" si="20"/>
        <v>0</v>
      </c>
      <c r="K112" s="476"/>
      <c r="L112" s="485"/>
      <c r="M112" s="476">
        <f t="shared" si="21"/>
        <v>0</v>
      </c>
      <c r="N112" s="485"/>
      <c r="O112" s="476">
        <f t="shared" si="22"/>
        <v>0</v>
      </c>
      <c r="P112" s="476">
        <f t="shared" si="23"/>
        <v>0</v>
      </c>
    </row>
    <row r="113" spans="2:16">
      <c r="B113" s="160" t="str">
        <f t="shared" si="24"/>
        <v/>
      </c>
      <c r="C113" s="470">
        <f>IF(D93="","-",+C112+1)</f>
        <v>2031</v>
      </c>
      <c r="D113" s="345">
        <f>IF(F112+SUM(E$99:E112)=D$92,F112,D$92-SUM(E$99:E112))</f>
        <v>222703</v>
      </c>
      <c r="E113" s="482">
        <f t="shared" si="27"/>
        <v>8070</v>
      </c>
      <c r="F113" s="483">
        <f t="shared" si="28"/>
        <v>214633</v>
      </c>
      <c r="G113" s="483">
        <f t="shared" si="29"/>
        <v>218668</v>
      </c>
      <c r="H113" s="611">
        <f t="shared" si="30"/>
        <v>32952.842466604125</v>
      </c>
      <c r="I113" s="612">
        <f t="shared" si="31"/>
        <v>32952.842466604125</v>
      </c>
      <c r="J113" s="476">
        <f t="shared" si="20"/>
        <v>0</v>
      </c>
      <c r="K113" s="476"/>
      <c r="L113" s="485"/>
      <c r="M113" s="476">
        <f t="shared" si="21"/>
        <v>0</v>
      </c>
      <c r="N113" s="485"/>
      <c r="O113" s="476">
        <f t="shared" si="22"/>
        <v>0</v>
      </c>
      <c r="P113" s="476">
        <f t="shared" si="23"/>
        <v>0</v>
      </c>
    </row>
    <row r="114" spans="2:16">
      <c r="B114" s="160" t="str">
        <f t="shared" si="24"/>
        <v/>
      </c>
      <c r="C114" s="470">
        <f>IF(D93="","-",+C113+1)</f>
        <v>2032</v>
      </c>
      <c r="D114" s="345">
        <f>IF(F113+SUM(E$99:E113)=D$92,F113,D$92-SUM(E$99:E113))</f>
        <v>214633</v>
      </c>
      <c r="E114" s="482">
        <f t="shared" si="27"/>
        <v>8070</v>
      </c>
      <c r="F114" s="483">
        <f t="shared" si="28"/>
        <v>206563</v>
      </c>
      <c r="G114" s="483">
        <f t="shared" si="29"/>
        <v>210598</v>
      </c>
      <c r="H114" s="611">
        <f t="shared" si="30"/>
        <v>32034.534626840214</v>
      </c>
      <c r="I114" s="612">
        <f t="shared" si="31"/>
        <v>32034.534626840214</v>
      </c>
      <c r="J114" s="476">
        <f t="shared" si="20"/>
        <v>0</v>
      </c>
      <c r="K114" s="476"/>
      <c r="L114" s="485"/>
      <c r="M114" s="476">
        <f t="shared" si="21"/>
        <v>0</v>
      </c>
      <c r="N114" s="485"/>
      <c r="O114" s="476">
        <f t="shared" si="22"/>
        <v>0</v>
      </c>
      <c r="P114" s="476">
        <f t="shared" si="23"/>
        <v>0</v>
      </c>
    </row>
    <row r="115" spans="2:16">
      <c r="B115" s="160" t="str">
        <f t="shared" si="24"/>
        <v/>
      </c>
      <c r="C115" s="470">
        <f>IF(D93="","-",+C114+1)</f>
        <v>2033</v>
      </c>
      <c r="D115" s="345">
        <f>IF(F114+SUM(E$99:E114)=D$92,F114,D$92-SUM(E$99:E114))</f>
        <v>206563</v>
      </c>
      <c r="E115" s="482">
        <f t="shared" si="27"/>
        <v>8070</v>
      </c>
      <c r="F115" s="483">
        <f t="shared" si="28"/>
        <v>198493</v>
      </c>
      <c r="G115" s="483">
        <f t="shared" si="29"/>
        <v>202528</v>
      </c>
      <c r="H115" s="611">
        <f t="shared" si="30"/>
        <v>31116.226787076303</v>
      </c>
      <c r="I115" s="612">
        <f t="shared" si="31"/>
        <v>31116.226787076303</v>
      </c>
      <c r="J115" s="476">
        <f t="shared" si="20"/>
        <v>0</v>
      </c>
      <c r="K115" s="476"/>
      <c r="L115" s="485"/>
      <c r="M115" s="476">
        <f t="shared" si="21"/>
        <v>0</v>
      </c>
      <c r="N115" s="485"/>
      <c r="O115" s="476">
        <f t="shared" si="22"/>
        <v>0</v>
      </c>
      <c r="P115" s="476">
        <f t="shared" si="23"/>
        <v>0</v>
      </c>
    </row>
    <row r="116" spans="2:16">
      <c r="B116" s="160" t="str">
        <f t="shared" si="24"/>
        <v/>
      </c>
      <c r="C116" s="470">
        <f>IF(D93="","-",+C115+1)</f>
        <v>2034</v>
      </c>
      <c r="D116" s="345">
        <f>IF(F115+SUM(E$99:E115)=D$92,F115,D$92-SUM(E$99:E115))</f>
        <v>198493</v>
      </c>
      <c r="E116" s="482">
        <f t="shared" si="27"/>
        <v>8070</v>
      </c>
      <c r="F116" s="483">
        <f t="shared" si="28"/>
        <v>190423</v>
      </c>
      <c r="G116" s="483">
        <f t="shared" si="29"/>
        <v>194458</v>
      </c>
      <c r="H116" s="611">
        <f t="shared" si="30"/>
        <v>30197.918947312388</v>
      </c>
      <c r="I116" s="612">
        <f t="shared" si="31"/>
        <v>30197.918947312388</v>
      </c>
      <c r="J116" s="476">
        <f t="shared" si="20"/>
        <v>0</v>
      </c>
      <c r="K116" s="476"/>
      <c r="L116" s="485"/>
      <c r="M116" s="476">
        <f t="shared" si="21"/>
        <v>0</v>
      </c>
      <c r="N116" s="485"/>
      <c r="O116" s="476">
        <f t="shared" si="22"/>
        <v>0</v>
      </c>
      <c r="P116" s="476">
        <f t="shared" si="23"/>
        <v>0</v>
      </c>
    </row>
    <row r="117" spans="2:16">
      <c r="B117" s="160" t="str">
        <f t="shared" si="24"/>
        <v/>
      </c>
      <c r="C117" s="470">
        <f>IF(D93="","-",+C116+1)</f>
        <v>2035</v>
      </c>
      <c r="D117" s="345">
        <f>IF(F116+SUM(E$99:E116)=D$92,F116,D$92-SUM(E$99:E116))</f>
        <v>190423</v>
      </c>
      <c r="E117" s="482">
        <f t="shared" si="27"/>
        <v>8070</v>
      </c>
      <c r="F117" s="483">
        <f t="shared" si="28"/>
        <v>182353</v>
      </c>
      <c r="G117" s="483">
        <f t="shared" si="29"/>
        <v>186388</v>
      </c>
      <c r="H117" s="611">
        <f t="shared" si="30"/>
        <v>29279.611107548477</v>
      </c>
      <c r="I117" s="612">
        <f t="shared" si="31"/>
        <v>29279.611107548477</v>
      </c>
      <c r="J117" s="476">
        <f t="shared" si="20"/>
        <v>0</v>
      </c>
      <c r="K117" s="476"/>
      <c r="L117" s="485"/>
      <c r="M117" s="476">
        <f t="shared" si="21"/>
        <v>0</v>
      </c>
      <c r="N117" s="485"/>
      <c r="O117" s="476">
        <f t="shared" si="22"/>
        <v>0</v>
      </c>
      <c r="P117" s="476">
        <f t="shared" si="23"/>
        <v>0</v>
      </c>
    </row>
    <row r="118" spans="2:16">
      <c r="B118" s="160" t="str">
        <f t="shared" si="24"/>
        <v/>
      </c>
      <c r="C118" s="470">
        <f>IF(D93="","-",+C117+1)</f>
        <v>2036</v>
      </c>
      <c r="D118" s="345">
        <f>IF(F117+SUM(E$99:E117)=D$92,F117,D$92-SUM(E$99:E117))</f>
        <v>182353</v>
      </c>
      <c r="E118" s="482">
        <f t="shared" si="27"/>
        <v>8070</v>
      </c>
      <c r="F118" s="483">
        <f t="shared" si="28"/>
        <v>174283</v>
      </c>
      <c r="G118" s="483">
        <f t="shared" si="29"/>
        <v>178318</v>
      </c>
      <c r="H118" s="611">
        <f t="shared" si="30"/>
        <v>28361.303267784562</v>
      </c>
      <c r="I118" s="612">
        <f t="shared" si="31"/>
        <v>28361.303267784562</v>
      </c>
      <c r="J118" s="476">
        <f t="shared" si="20"/>
        <v>0</v>
      </c>
      <c r="K118" s="476"/>
      <c r="L118" s="485"/>
      <c r="M118" s="476">
        <f t="shared" si="21"/>
        <v>0</v>
      </c>
      <c r="N118" s="485"/>
      <c r="O118" s="476">
        <f t="shared" si="22"/>
        <v>0</v>
      </c>
      <c r="P118" s="476">
        <f t="shared" si="23"/>
        <v>0</v>
      </c>
    </row>
    <row r="119" spans="2:16">
      <c r="B119" s="160" t="str">
        <f t="shared" si="24"/>
        <v/>
      </c>
      <c r="C119" s="470">
        <f>IF(D93="","-",+C118+1)</f>
        <v>2037</v>
      </c>
      <c r="D119" s="345">
        <f>IF(F118+SUM(E$99:E118)=D$92,F118,D$92-SUM(E$99:E118))</f>
        <v>174283</v>
      </c>
      <c r="E119" s="482">
        <f t="shared" si="27"/>
        <v>8070</v>
      </c>
      <c r="F119" s="483">
        <f t="shared" si="28"/>
        <v>166213</v>
      </c>
      <c r="G119" s="483">
        <f t="shared" si="29"/>
        <v>170248</v>
      </c>
      <c r="H119" s="611">
        <f t="shared" si="30"/>
        <v>27442.995428020651</v>
      </c>
      <c r="I119" s="612">
        <f t="shared" si="31"/>
        <v>27442.995428020651</v>
      </c>
      <c r="J119" s="476">
        <f t="shared" si="20"/>
        <v>0</v>
      </c>
      <c r="K119" s="476"/>
      <c r="L119" s="485"/>
      <c r="M119" s="476">
        <f t="shared" si="21"/>
        <v>0</v>
      </c>
      <c r="N119" s="485"/>
      <c r="O119" s="476">
        <f t="shared" si="22"/>
        <v>0</v>
      </c>
      <c r="P119" s="476">
        <f t="shared" si="23"/>
        <v>0</v>
      </c>
    </row>
    <row r="120" spans="2:16">
      <c r="B120" s="160" t="str">
        <f t="shared" si="24"/>
        <v/>
      </c>
      <c r="C120" s="470">
        <f>IF(D93="","-",+C119+1)</f>
        <v>2038</v>
      </c>
      <c r="D120" s="345">
        <f>IF(F119+SUM(E$99:E119)=D$92,F119,D$92-SUM(E$99:E119))</f>
        <v>166213</v>
      </c>
      <c r="E120" s="482">
        <f t="shared" si="27"/>
        <v>8070</v>
      </c>
      <c r="F120" s="483">
        <f t="shared" si="28"/>
        <v>158143</v>
      </c>
      <c r="G120" s="483">
        <f t="shared" si="29"/>
        <v>162178</v>
      </c>
      <c r="H120" s="611">
        <f t="shared" si="30"/>
        <v>26524.687588256736</v>
      </c>
      <c r="I120" s="612">
        <f t="shared" si="31"/>
        <v>26524.687588256736</v>
      </c>
      <c r="J120" s="476">
        <f t="shared" si="20"/>
        <v>0</v>
      </c>
      <c r="K120" s="476"/>
      <c r="L120" s="485"/>
      <c r="M120" s="476">
        <f t="shared" si="21"/>
        <v>0</v>
      </c>
      <c r="N120" s="485"/>
      <c r="O120" s="476">
        <f t="shared" si="22"/>
        <v>0</v>
      </c>
      <c r="P120" s="476">
        <f t="shared" si="23"/>
        <v>0</v>
      </c>
    </row>
    <row r="121" spans="2:16">
      <c r="B121" s="160" t="str">
        <f t="shared" si="24"/>
        <v/>
      </c>
      <c r="C121" s="470">
        <f>IF(D93="","-",+C120+1)</f>
        <v>2039</v>
      </c>
      <c r="D121" s="345">
        <f>IF(F120+SUM(E$99:E120)=D$92,F120,D$92-SUM(E$99:E120))</f>
        <v>158143</v>
      </c>
      <c r="E121" s="482">
        <f t="shared" si="27"/>
        <v>8070</v>
      </c>
      <c r="F121" s="483">
        <f t="shared" si="28"/>
        <v>150073</v>
      </c>
      <c r="G121" s="483">
        <f t="shared" si="29"/>
        <v>154108</v>
      </c>
      <c r="H121" s="611">
        <f t="shared" si="30"/>
        <v>25606.379748492825</v>
      </c>
      <c r="I121" s="612">
        <f t="shared" si="31"/>
        <v>25606.379748492825</v>
      </c>
      <c r="J121" s="476">
        <f t="shared" si="20"/>
        <v>0</v>
      </c>
      <c r="K121" s="476"/>
      <c r="L121" s="485"/>
      <c r="M121" s="476">
        <f t="shared" si="21"/>
        <v>0</v>
      </c>
      <c r="N121" s="485"/>
      <c r="O121" s="476">
        <f t="shared" si="22"/>
        <v>0</v>
      </c>
      <c r="P121" s="476">
        <f t="shared" si="23"/>
        <v>0</v>
      </c>
    </row>
    <row r="122" spans="2:16">
      <c r="B122" s="160" t="str">
        <f t="shared" si="24"/>
        <v/>
      </c>
      <c r="C122" s="470">
        <f>IF(D93="","-",+C121+1)</f>
        <v>2040</v>
      </c>
      <c r="D122" s="345">
        <f>IF(F121+SUM(E$99:E121)=D$92,F121,D$92-SUM(E$99:E121))</f>
        <v>150073</v>
      </c>
      <c r="E122" s="482">
        <f t="shared" si="27"/>
        <v>8070</v>
      </c>
      <c r="F122" s="483">
        <f t="shared" si="28"/>
        <v>142003</v>
      </c>
      <c r="G122" s="483">
        <f t="shared" si="29"/>
        <v>146038</v>
      </c>
      <c r="H122" s="611">
        <f t="shared" si="30"/>
        <v>24688.071908728911</v>
      </c>
      <c r="I122" s="612">
        <f t="shared" si="31"/>
        <v>24688.071908728911</v>
      </c>
      <c r="J122" s="476">
        <f t="shared" si="20"/>
        <v>0</v>
      </c>
      <c r="K122" s="476"/>
      <c r="L122" s="485"/>
      <c r="M122" s="476">
        <f t="shared" si="21"/>
        <v>0</v>
      </c>
      <c r="N122" s="485"/>
      <c r="O122" s="476">
        <f t="shared" si="22"/>
        <v>0</v>
      </c>
      <c r="P122" s="476">
        <f t="shared" si="23"/>
        <v>0</v>
      </c>
    </row>
    <row r="123" spans="2:16">
      <c r="B123" s="160" t="str">
        <f t="shared" si="24"/>
        <v/>
      </c>
      <c r="C123" s="470">
        <f>IF(D93="","-",+C122+1)</f>
        <v>2041</v>
      </c>
      <c r="D123" s="345">
        <f>IF(F122+SUM(E$99:E122)=D$92,F122,D$92-SUM(E$99:E122))</f>
        <v>142003</v>
      </c>
      <c r="E123" s="482">
        <f t="shared" si="27"/>
        <v>8070</v>
      </c>
      <c r="F123" s="483">
        <f t="shared" si="28"/>
        <v>133933</v>
      </c>
      <c r="G123" s="483">
        <f t="shared" si="29"/>
        <v>137968</v>
      </c>
      <c r="H123" s="611">
        <f t="shared" si="30"/>
        <v>23769.764068965</v>
      </c>
      <c r="I123" s="612">
        <f t="shared" si="31"/>
        <v>23769.764068965</v>
      </c>
      <c r="J123" s="476">
        <f t="shared" si="20"/>
        <v>0</v>
      </c>
      <c r="K123" s="476"/>
      <c r="L123" s="485"/>
      <c r="M123" s="476">
        <f t="shared" si="21"/>
        <v>0</v>
      </c>
      <c r="N123" s="485"/>
      <c r="O123" s="476">
        <f t="shared" si="22"/>
        <v>0</v>
      </c>
      <c r="P123" s="476">
        <f t="shared" si="23"/>
        <v>0</v>
      </c>
    </row>
    <row r="124" spans="2:16">
      <c r="B124" s="160" t="str">
        <f t="shared" si="24"/>
        <v/>
      </c>
      <c r="C124" s="470">
        <f>IF(D93="","-",+C123+1)</f>
        <v>2042</v>
      </c>
      <c r="D124" s="345">
        <f>IF(F123+SUM(E$99:E123)=D$92,F123,D$92-SUM(E$99:E123))</f>
        <v>133933</v>
      </c>
      <c r="E124" s="482">
        <f t="shared" si="27"/>
        <v>8070</v>
      </c>
      <c r="F124" s="483">
        <f t="shared" si="28"/>
        <v>125863</v>
      </c>
      <c r="G124" s="483">
        <f t="shared" si="29"/>
        <v>129898</v>
      </c>
      <c r="H124" s="611">
        <f t="shared" si="30"/>
        <v>22851.456229201085</v>
      </c>
      <c r="I124" s="612">
        <f t="shared" si="31"/>
        <v>22851.456229201085</v>
      </c>
      <c r="J124" s="476">
        <f t="shared" si="20"/>
        <v>0</v>
      </c>
      <c r="K124" s="476"/>
      <c r="L124" s="485"/>
      <c r="M124" s="476">
        <f t="shared" si="21"/>
        <v>0</v>
      </c>
      <c r="N124" s="485"/>
      <c r="O124" s="476">
        <f t="shared" si="22"/>
        <v>0</v>
      </c>
      <c r="P124" s="476">
        <f t="shared" si="23"/>
        <v>0</v>
      </c>
    </row>
    <row r="125" spans="2:16">
      <c r="B125" s="160" t="str">
        <f t="shared" si="24"/>
        <v/>
      </c>
      <c r="C125" s="470">
        <f>IF(D93="","-",+C124+1)</f>
        <v>2043</v>
      </c>
      <c r="D125" s="345">
        <f>IF(F124+SUM(E$99:E124)=D$92,F124,D$92-SUM(E$99:E124))</f>
        <v>125863</v>
      </c>
      <c r="E125" s="482">
        <f t="shared" si="27"/>
        <v>8070</v>
      </c>
      <c r="F125" s="483">
        <f t="shared" si="28"/>
        <v>117793</v>
      </c>
      <c r="G125" s="483">
        <f t="shared" si="29"/>
        <v>121828</v>
      </c>
      <c r="H125" s="611">
        <f t="shared" si="30"/>
        <v>21933.14838943717</v>
      </c>
      <c r="I125" s="612">
        <f t="shared" si="31"/>
        <v>21933.14838943717</v>
      </c>
      <c r="J125" s="476">
        <f t="shared" si="20"/>
        <v>0</v>
      </c>
      <c r="K125" s="476"/>
      <c r="L125" s="485"/>
      <c r="M125" s="476">
        <f t="shared" si="21"/>
        <v>0</v>
      </c>
      <c r="N125" s="485"/>
      <c r="O125" s="476">
        <f t="shared" si="22"/>
        <v>0</v>
      </c>
      <c r="P125" s="476">
        <f t="shared" si="23"/>
        <v>0</v>
      </c>
    </row>
    <row r="126" spans="2:16">
      <c r="B126" s="160" t="str">
        <f t="shared" si="24"/>
        <v/>
      </c>
      <c r="C126" s="470">
        <f>IF(D93="","-",+C125+1)</f>
        <v>2044</v>
      </c>
      <c r="D126" s="345">
        <f>IF(F125+SUM(E$99:E125)=D$92,F125,D$92-SUM(E$99:E125))</f>
        <v>117793</v>
      </c>
      <c r="E126" s="482">
        <f t="shared" si="27"/>
        <v>8070</v>
      </c>
      <c r="F126" s="483">
        <f t="shared" si="28"/>
        <v>109723</v>
      </c>
      <c r="G126" s="483">
        <f t="shared" si="29"/>
        <v>113758</v>
      </c>
      <c r="H126" s="611">
        <f t="shared" si="30"/>
        <v>21014.840549673259</v>
      </c>
      <c r="I126" s="612">
        <f t="shared" si="31"/>
        <v>21014.840549673259</v>
      </c>
      <c r="J126" s="476">
        <f t="shared" si="20"/>
        <v>0</v>
      </c>
      <c r="K126" s="476"/>
      <c r="L126" s="485"/>
      <c r="M126" s="476">
        <f t="shared" si="21"/>
        <v>0</v>
      </c>
      <c r="N126" s="485"/>
      <c r="O126" s="476">
        <f t="shared" si="22"/>
        <v>0</v>
      </c>
      <c r="P126" s="476">
        <f t="shared" si="23"/>
        <v>0</v>
      </c>
    </row>
    <row r="127" spans="2:16">
      <c r="B127" s="160" t="str">
        <f t="shared" si="24"/>
        <v/>
      </c>
      <c r="C127" s="470">
        <f>IF(D93="","-",+C126+1)</f>
        <v>2045</v>
      </c>
      <c r="D127" s="345">
        <f>IF(F126+SUM(E$99:E126)=D$92,F126,D$92-SUM(E$99:E126))</f>
        <v>109723</v>
      </c>
      <c r="E127" s="482">
        <f t="shared" si="27"/>
        <v>8070</v>
      </c>
      <c r="F127" s="483">
        <f t="shared" si="28"/>
        <v>101653</v>
      </c>
      <c r="G127" s="483">
        <f t="shared" si="29"/>
        <v>105688</v>
      </c>
      <c r="H127" s="611">
        <f t="shared" si="30"/>
        <v>20096.532709909348</v>
      </c>
      <c r="I127" s="612">
        <f t="shared" si="31"/>
        <v>20096.532709909348</v>
      </c>
      <c r="J127" s="476">
        <f t="shared" si="20"/>
        <v>0</v>
      </c>
      <c r="K127" s="476"/>
      <c r="L127" s="485"/>
      <c r="M127" s="476">
        <f t="shared" si="21"/>
        <v>0</v>
      </c>
      <c r="N127" s="485"/>
      <c r="O127" s="476">
        <f t="shared" si="22"/>
        <v>0</v>
      </c>
      <c r="P127" s="476">
        <f t="shared" si="23"/>
        <v>0</v>
      </c>
    </row>
    <row r="128" spans="2:16">
      <c r="B128" s="160" t="str">
        <f t="shared" si="24"/>
        <v/>
      </c>
      <c r="C128" s="470">
        <f>IF(D93="","-",+C127+1)</f>
        <v>2046</v>
      </c>
      <c r="D128" s="345">
        <f>IF(F127+SUM(E$99:E127)=D$92,F127,D$92-SUM(E$99:E127))</f>
        <v>101653</v>
      </c>
      <c r="E128" s="482">
        <f t="shared" si="27"/>
        <v>8070</v>
      </c>
      <c r="F128" s="483">
        <f t="shared" si="28"/>
        <v>93583</v>
      </c>
      <c r="G128" s="483">
        <f t="shared" si="29"/>
        <v>97618</v>
      </c>
      <c r="H128" s="611">
        <f t="shared" si="30"/>
        <v>19178.224870145434</v>
      </c>
      <c r="I128" s="612">
        <f t="shared" si="31"/>
        <v>19178.224870145434</v>
      </c>
      <c r="J128" s="476">
        <f t="shared" si="20"/>
        <v>0</v>
      </c>
      <c r="K128" s="476"/>
      <c r="L128" s="485"/>
      <c r="M128" s="476">
        <f t="shared" si="21"/>
        <v>0</v>
      </c>
      <c r="N128" s="485"/>
      <c r="O128" s="476">
        <f t="shared" si="22"/>
        <v>0</v>
      </c>
      <c r="P128" s="476">
        <f t="shared" si="23"/>
        <v>0</v>
      </c>
    </row>
    <row r="129" spans="2:16">
      <c r="B129" s="160" t="str">
        <f t="shared" si="24"/>
        <v/>
      </c>
      <c r="C129" s="470">
        <f>IF(D93="","-",+C128+1)</f>
        <v>2047</v>
      </c>
      <c r="D129" s="345">
        <f>IF(F128+SUM(E$99:E128)=D$92,F128,D$92-SUM(E$99:E128))</f>
        <v>93583</v>
      </c>
      <c r="E129" s="482">
        <f t="shared" si="27"/>
        <v>8070</v>
      </c>
      <c r="F129" s="483">
        <f t="shared" si="28"/>
        <v>85513</v>
      </c>
      <c r="G129" s="483">
        <f t="shared" si="29"/>
        <v>89548</v>
      </c>
      <c r="H129" s="611">
        <f t="shared" si="30"/>
        <v>18259.917030381519</v>
      </c>
      <c r="I129" s="612">
        <f t="shared" si="31"/>
        <v>18259.917030381519</v>
      </c>
      <c r="J129" s="476">
        <f t="shared" si="20"/>
        <v>0</v>
      </c>
      <c r="K129" s="476"/>
      <c r="L129" s="485"/>
      <c r="M129" s="476">
        <f t="shared" si="21"/>
        <v>0</v>
      </c>
      <c r="N129" s="485"/>
      <c r="O129" s="476">
        <f t="shared" si="22"/>
        <v>0</v>
      </c>
      <c r="P129" s="476">
        <f t="shared" si="23"/>
        <v>0</v>
      </c>
    </row>
    <row r="130" spans="2:16">
      <c r="B130" s="160" t="str">
        <f t="shared" si="24"/>
        <v/>
      </c>
      <c r="C130" s="470">
        <f>IF(D93="","-",+C129+1)</f>
        <v>2048</v>
      </c>
      <c r="D130" s="345">
        <f>IF(F129+SUM(E$99:E129)=D$92,F129,D$92-SUM(E$99:E129))</f>
        <v>85513</v>
      </c>
      <c r="E130" s="482">
        <f t="shared" si="27"/>
        <v>8070</v>
      </c>
      <c r="F130" s="483">
        <f t="shared" si="28"/>
        <v>77443</v>
      </c>
      <c r="G130" s="483">
        <f t="shared" si="29"/>
        <v>81478</v>
      </c>
      <c r="H130" s="611">
        <f t="shared" si="30"/>
        <v>17341.609190617608</v>
      </c>
      <c r="I130" s="612">
        <f t="shared" si="31"/>
        <v>17341.609190617608</v>
      </c>
      <c r="J130" s="476">
        <f t="shared" si="20"/>
        <v>0</v>
      </c>
      <c r="K130" s="476"/>
      <c r="L130" s="485"/>
      <c r="M130" s="476">
        <f t="shared" si="21"/>
        <v>0</v>
      </c>
      <c r="N130" s="485"/>
      <c r="O130" s="476">
        <f t="shared" si="22"/>
        <v>0</v>
      </c>
      <c r="P130" s="476">
        <f t="shared" si="23"/>
        <v>0</v>
      </c>
    </row>
    <row r="131" spans="2:16">
      <c r="B131" s="160" t="str">
        <f t="shared" si="24"/>
        <v/>
      </c>
      <c r="C131" s="470">
        <f>IF(D93="","-",+C130+1)</f>
        <v>2049</v>
      </c>
      <c r="D131" s="345">
        <f>IF(F130+SUM(E$99:E130)=D$92,F130,D$92-SUM(E$99:E130))</f>
        <v>77443</v>
      </c>
      <c r="E131" s="482">
        <f t="shared" si="27"/>
        <v>8070</v>
      </c>
      <c r="F131" s="483">
        <f t="shared" si="28"/>
        <v>69373</v>
      </c>
      <c r="G131" s="483">
        <f t="shared" si="29"/>
        <v>73408</v>
      </c>
      <c r="H131" s="611">
        <f t="shared" si="30"/>
        <v>16423.301350853697</v>
      </c>
      <c r="I131" s="612">
        <f t="shared" si="31"/>
        <v>16423.301350853697</v>
      </c>
      <c r="J131" s="476">
        <f t="shared" ref="J131:J154" si="32">+I541-H541</f>
        <v>0</v>
      </c>
      <c r="K131" s="476"/>
      <c r="L131" s="485"/>
      <c r="M131" s="476">
        <f t="shared" ref="M131:M154" si="33">IF(L541&lt;&gt;0,+H541-L541,0)</f>
        <v>0</v>
      </c>
      <c r="N131" s="485"/>
      <c r="O131" s="476">
        <f t="shared" ref="O131:O154" si="34">IF(N541&lt;&gt;0,+I541-N541,0)</f>
        <v>0</v>
      </c>
      <c r="P131" s="476">
        <f t="shared" ref="P131:P154" si="35">+O541-M541</f>
        <v>0</v>
      </c>
    </row>
    <row r="132" spans="2:16">
      <c r="B132" s="160" t="str">
        <f t="shared" si="24"/>
        <v/>
      </c>
      <c r="C132" s="470">
        <f>IF(D93="","-",+C131+1)</f>
        <v>2050</v>
      </c>
      <c r="D132" s="345">
        <f>IF(F131+SUM(E$99:E131)=D$92,F131,D$92-SUM(E$99:E131))</f>
        <v>69373</v>
      </c>
      <c r="E132" s="482">
        <f t="shared" si="27"/>
        <v>8070</v>
      </c>
      <c r="F132" s="483">
        <f t="shared" si="28"/>
        <v>61303</v>
      </c>
      <c r="G132" s="483">
        <f t="shared" si="29"/>
        <v>65338</v>
      </c>
      <c r="H132" s="611">
        <f t="shared" si="30"/>
        <v>15504.993511089782</v>
      </c>
      <c r="I132" s="612">
        <f t="shared" si="31"/>
        <v>15504.993511089782</v>
      </c>
      <c r="J132" s="476">
        <f t="shared" si="32"/>
        <v>0</v>
      </c>
      <c r="K132" s="476"/>
      <c r="L132" s="485"/>
      <c r="M132" s="476">
        <f t="shared" si="33"/>
        <v>0</v>
      </c>
      <c r="N132" s="485"/>
      <c r="O132" s="476">
        <f t="shared" si="34"/>
        <v>0</v>
      </c>
      <c r="P132" s="476">
        <f t="shared" si="35"/>
        <v>0</v>
      </c>
    </row>
    <row r="133" spans="2:16">
      <c r="B133" s="160" t="str">
        <f t="shared" si="24"/>
        <v/>
      </c>
      <c r="C133" s="470">
        <f>IF(D93="","-",+C132+1)</f>
        <v>2051</v>
      </c>
      <c r="D133" s="345">
        <f>IF(F132+SUM(E$99:E132)=D$92,F132,D$92-SUM(E$99:E132))</f>
        <v>61303</v>
      </c>
      <c r="E133" s="482">
        <f t="shared" si="27"/>
        <v>8070</v>
      </c>
      <c r="F133" s="483">
        <f t="shared" si="28"/>
        <v>53233</v>
      </c>
      <c r="G133" s="483">
        <f t="shared" si="29"/>
        <v>57268</v>
      </c>
      <c r="H133" s="611">
        <f t="shared" si="30"/>
        <v>14586.685671325869</v>
      </c>
      <c r="I133" s="612">
        <f t="shared" si="31"/>
        <v>14586.685671325869</v>
      </c>
      <c r="J133" s="476">
        <f t="shared" si="32"/>
        <v>0</v>
      </c>
      <c r="K133" s="476"/>
      <c r="L133" s="485"/>
      <c r="M133" s="476">
        <f t="shared" si="33"/>
        <v>0</v>
      </c>
      <c r="N133" s="485"/>
      <c r="O133" s="476">
        <f t="shared" si="34"/>
        <v>0</v>
      </c>
      <c r="P133" s="476">
        <f t="shared" si="35"/>
        <v>0</v>
      </c>
    </row>
    <row r="134" spans="2:16">
      <c r="B134" s="160" t="str">
        <f t="shared" si="24"/>
        <v/>
      </c>
      <c r="C134" s="470">
        <f>IF(D93="","-",+C133+1)</f>
        <v>2052</v>
      </c>
      <c r="D134" s="345">
        <f>IF(F133+SUM(E$99:E133)=D$92,F133,D$92-SUM(E$99:E133))</f>
        <v>53233</v>
      </c>
      <c r="E134" s="482">
        <f t="shared" si="27"/>
        <v>8070</v>
      </c>
      <c r="F134" s="483">
        <f t="shared" si="28"/>
        <v>45163</v>
      </c>
      <c r="G134" s="483">
        <f t="shared" si="29"/>
        <v>49198</v>
      </c>
      <c r="H134" s="611">
        <f t="shared" si="30"/>
        <v>13668.377831561957</v>
      </c>
      <c r="I134" s="612">
        <f t="shared" si="31"/>
        <v>13668.377831561957</v>
      </c>
      <c r="J134" s="476">
        <f t="shared" si="32"/>
        <v>0</v>
      </c>
      <c r="K134" s="476"/>
      <c r="L134" s="485"/>
      <c r="M134" s="476">
        <f t="shared" si="33"/>
        <v>0</v>
      </c>
      <c r="N134" s="485"/>
      <c r="O134" s="476">
        <f t="shared" si="34"/>
        <v>0</v>
      </c>
      <c r="P134" s="476">
        <f t="shared" si="35"/>
        <v>0</v>
      </c>
    </row>
    <row r="135" spans="2:16">
      <c r="B135" s="160" t="str">
        <f t="shared" si="24"/>
        <v/>
      </c>
      <c r="C135" s="470">
        <f>IF(D93="","-",+C134+1)</f>
        <v>2053</v>
      </c>
      <c r="D135" s="345">
        <f>IF(F134+SUM(E$99:E134)=D$92,F134,D$92-SUM(E$99:E134))</f>
        <v>45163</v>
      </c>
      <c r="E135" s="482">
        <f t="shared" si="27"/>
        <v>8070</v>
      </c>
      <c r="F135" s="483">
        <f t="shared" si="28"/>
        <v>37093</v>
      </c>
      <c r="G135" s="483">
        <f t="shared" si="29"/>
        <v>41128</v>
      </c>
      <c r="H135" s="611">
        <f t="shared" si="30"/>
        <v>12750.069991798044</v>
      </c>
      <c r="I135" s="612">
        <f t="shared" si="31"/>
        <v>12750.069991798044</v>
      </c>
      <c r="J135" s="476">
        <f t="shared" si="32"/>
        <v>0</v>
      </c>
      <c r="K135" s="476"/>
      <c r="L135" s="485"/>
      <c r="M135" s="476">
        <f t="shared" si="33"/>
        <v>0</v>
      </c>
      <c r="N135" s="485"/>
      <c r="O135" s="476">
        <f t="shared" si="34"/>
        <v>0</v>
      </c>
      <c r="P135" s="476">
        <f t="shared" si="35"/>
        <v>0</v>
      </c>
    </row>
    <row r="136" spans="2:16">
      <c r="B136" s="160" t="str">
        <f t="shared" si="24"/>
        <v/>
      </c>
      <c r="C136" s="470">
        <f>IF(D93="","-",+C135+1)</f>
        <v>2054</v>
      </c>
      <c r="D136" s="345">
        <f>IF(F135+SUM(E$99:E135)=D$92,F135,D$92-SUM(E$99:E135))</f>
        <v>37093</v>
      </c>
      <c r="E136" s="482">
        <f t="shared" si="27"/>
        <v>8070</v>
      </c>
      <c r="F136" s="483">
        <f t="shared" si="28"/>
        <v>29023</v>
      </c>
      <c r="G136" s="483">
        <f t="shared" si="29"/>
        <v>33058</v>
      </c>
      <c r="H136" s="611">
        <f t="shared" si="30"/>
        <v>11831.762152034131</v>
      </c>
      <c r="I136" s="612">
        <f t="shared" si="31"/>
        <v>11831.762152034131</v>
      </c>
      <c r="J136" s="476">
        <f t="shared" si="32"/>
        <v>0</v>
      </c>
      <c r="K136" s="476"/>
      <c r="L136" s="485"/>
      <c r="M136" s="476">
        <f t="shared" si="33"/>
        <v>0</v>
      </c>
      <c r="N136" s="485"/>
      <c r="O136" s="476">
        <f t="shared" si="34"/>
        <v>0</v>
      </c>
      <c r="P136" s="476">
        <f t="shared" si="35"/>
        <v>0</v>
      </c>
    </row>
    <row r="137" spans="2:16">
      <c r="B137" s="160" t="str">
        <f t="shared" si="24"/>
        <v/>
      </c>
      <c r="C137" s="470">
        <f>IF(D93="","-",+C136+1)</f>
        <v>2055</v>
      </c>
      <c r="D137" s="345">
        <f>IF(F136+SUM(E$99:E136)=D$92,F136,D$92-SUM(E$99:E136))</f>
        <v>29023</v>
      </c>
      <c r="E137" s="482">
        <f t="shared" si="27"/>
        <v>8070</v>
      </c>
      <c r="F137" s="483">
        <f t="shared" si="28"/>
        <v>20953</v>
      </c>
      <c r="G137" s="483">
        <f t="shared" si="29"/>
        <v>24988</v>
      </c>
      <c r="H137" s="611">
        <f t="shared" si="30"/>
        <v>10913.454312270218</v>
      </c>
      <c r="I137" s="612">
        <f t="shared" si="31"/>
        <v>10913.454312270218</v>
      </c>
      <c r="J137" s="476">
        <f t="shared" si="32"/>
        <v>0</v>
      </c>
      <c r="K137" s="476"/>
      <c r="L137" s="485"/>
      <c r="M137" s="476">
        <f t="shared" si="33"/>
        <v>0</v>
      </c>
      <c r="N137" s="485"/>
      <c r="O137" s="476">
        <f t="shared" si="34"/>
        <v>0</v>
      </c>
      <c r="P137" s="476">
        <f t="shared" si="35"/>
        <v>0</v>
      </c>
    </row>
    <row r="138" spans="2:16">
      <c r="B138" s="160" t="str">
        <f t="shared" si="24"/>
        <v/>
      </c>
      <c r="C138" s="470">
        <f>IF(D93="","-",+C137+1)</f>
        <v>2056</v>
      </c>
      <c r="D138" s="345">
        <f>IF(F137+SUM(E$99:E137)=D$92,F137,D$92-SUM(E$99:E137))</f>
        <v>20953</v>
      </c>
      <c r="E138" s="482">
        <f t="shared" si="27"/>
        <v>8070</v>
      </c>
      <c r="F138" s="483">
        <f t="shared" si="28"/>
        <v>12883</v>
      </c>
      <c r="G138" s="483">
        <f t="shared" si="29"/>
        <v>16918</v>
      </c>
      <c r="H138" s="611">
        <f t="shared" si="30"/>
        <v>9995.1464725063051</v>
      </c>
      <c r="I138" s="612">
        <f t="shared" si="31"/>
        <v>9995.1464725063051</v>
      </c>
      <c r="J138" s="476">
        <f t="shared" si="32"/>
        <v>0</v>
      </c>
      <c r="K138" s="476"/>
      <c r="L138" s="485"/>
      <c r="M138" s="476">
        <f t="shared" si="33"/>
        <v>0</v>
      </c>
      <c r="N138" s="485"/>
      <c r="O138" s="476">
        <f t="shared" si="34"/>
        <v>0</v>
      </c>
      <c r="P138" s="476">
        <f t="shared" si="35"/>
        <v>0</v>
      </c>
    </row>
    <row r="139" spans="2:16">
      <c r="B139" s="160" t="str">
        <f t="shared" si="24"/>
        <v/>
      </c>
      <c r="C139" s="470">
        <f>IF(D93="","-",+C138+1)</f>
        <v>2057</v>
      </c>
      <c r="D139" s="345">
        <f>IF(F138+SUM(E$99:E138)=D$92,F138,D$92-SUM(E$99:E138))</f>
        <v>12883</v>
      </c>
      <c r="E139" s="482">
        <f t="shared" si="27"/>
        <v>8070</v>
      </c>
      <c r="F139" s="483">
        <f t="shared" si="28"/>
        <v>4813</v>
      </c>
      <c r="G139" s="483">
        <f t="shared" si="29"/>
        <v>8848</v>
      </c>
      <c r="H139" s="611">
        <f t="shared" si="30"/>
        <v>9076.8386327423923</v>
      </c>
      <c r="I139" s="612">
        <f t="shared" si="31"/>
        <v>9076.8386327423923</v>
      </c>
      <c r="J139" s="476">
        <f t="shared" si="32"/>
        <v>0</v>
      </c>
      <c r="K139" s="476"/>
      <c r="L139" s="485"/>
      <c r="M139" s="476">
        <f t="shared" si="33"/>
        <v>0</v>
      </c>
      <c r="N139" s="485"/>
      <c r="O139" s="476">
        <f t="shared" si="34"/>
        <v>0</v>
      </c>
      <c r="P139" s="476">
        <f t="shared" si="35"/>
        <v>0</v>
      </c>
    </row>
    <row r="140" spans="2:16">
      <c r="B140" s="160" t="str">
        <f t="shared" si="24"/>
        <v/>
      </c>
      <c r="C140" s="470">
        <f>IF(D93="","-",+C139+1)</f>
        <v>2058</v>
      </c>
      <c r="D140" s="345">
        <f>IF(F139+SUM(E$99:E139)=D$92,F139,D$92-SUM(E$99:E139))</f>
        <v>4813</v>
      </c>
      <c r="E140" s="482">
        <f t="shared" si="27"/>
        <v>4813</v>
      </c>
      <c r="F140" s="483">
        <f t="shared" si="28"/>
        <v>0</v>
      </c>
      <c r="G140" s="483">
        <f t="shared" si="29"/>
        <v>2406.5</v>
      </c>
      <c r="H140" s="611">
        <f t="shared" si="30"/>
        <v>5086.8423564302175</v>
      </c>
      <c r="I140" s="612">
        <f t="shared" si="31"/>
        <v>5086.8423564302175</v>
      </c>
      <c r="J140" s="476">
        <f t="shared" si="32"/>
        <v>0</v>
      </c>
      <c r="K140" s="476"/>
      <c r="L140" s="485"/>
      <c r="M140" s="476">
        <f t="shared" si="33"/>
        <v>0</v>
      </c>
      <c r="N140" s="485"/>
      <c r="O140" s="476">
        <f t="shared" si="34"/>
        <v>0</v>
      </c>
      <c r="P140" s="476">
        <f t="shared" si="35"/>
        <v>0</v>
      </c>
    </row>
    <row r="141" spans="2:16">
      <c r="B141" s="160" t="str">
        <f t="shared" si="24"/>
        <v/>
      </c>
      <c r="C141" s="470">
        <f>IF(D93="","-",+C140+1)</f>
        <v>2059</v>
      </c>
      <c r="D141" s="345">
        <f>IF(F140+SUM(E$99:E140)=D$92,F140,D$92-SUM(E$99:E140))</f>
        <v>0</v>
      </c>
      <c r="E141" s="482">
        <f t="shared" si="27"/>
        <v>0</v>
      </c>
      <c r="F141" s="483">
        <f t="shared" si="28"/>
        <v>0</v>
      </c>
      <c r="G141" s="483">
        <f t="shared" si="29"/>
        <v>0</v>
      </c>
      <c r="H141" s="611">
        <f t="shared" si="30"/>
        <v>0</v>
      </c>
      <c r="I141" s="612">
        <f t="shared" si="31"/>
        <v>0</v>
      </c>
      <c r="J141" s="476">
        <f t="shared" si="32"/>
        <v>0</v>
      </c>
      <c r="K141" s="476"/>
      <c r="L141" s="485"/>
      <c r="M141" s="476">
        <f t="shared" si="33"/>
        <v>0</v>
      </c>
      <c r="N141" s="485"/>
      <c r="O141" s="476">
        <f t="shared" si="34"/>
        <v>0</v>
      </c>
      <c r="P141" s="476">
        <f t="shared" si="35"/>
        <v>0</v>
      </c>
    </row>
    <row r="142" spans="2:16">
      <c r="B142" s="160" t="str">
        <f t="shared" si="24"/>
        <v/>
      </c>
      <c r="C142" s="470">
        <f>IF(D93="","-",+C141+1)</f>
        <v>2060</v>
      </c>
      <c r="D142" s="345">
        <f>IF(F141+SUM(E$99:E141)=D$92,F141,D$92-SUM(E$99:E141))</f>
        <v>0</v>
      </c>
      <c r="E142" s="482">
        <f t="shared" si="27"/>
        <v>0</v>
      </c>
      <c r="F142" s="483">
        <f t="shared" si="28"/>
        <v>0</v>
      </c>
      <c r="G142" s="483">
        <f t="shared" si="29"/>
        <v>0</v>
      </c>
      <c r="H142" s="611">
        <f t="shared" si="30"/>
        <v>0</v>
      </c>
      <c r="I142" s="612">
        <f t="shared" si="31"/>
        <v>0</v>
      </c>
      <c r="J142" s="476">
        <f t="shared" si="32"/>
        <v>0</v>
      </c>
      <c r="K142" s="476"/>
      <c r="L142" s="485"/>
      <c r="M142" s="476">
        <f t="shared" si="33"/>
        <v>0</v>
      </c>
      <c r="N142" s="485"/>
      <c r="O142" s="476">
        <f t="shared" si="34"/>
        <v>0</v>
      </c>
      <c r="P142" s="476">
        <f t="shared" si="35"/>
        <v>0</v>
      </c>
    </row>
    <row r="143" spans="2:16">
      <c r="B143" s="160" t="str">
        <f t="shared" si="24"/>
        <v/>
      </c>
      <c r="C143" s="470">
        <f>IF(D93="","-",+C142+1)</f>
        <v>2061</v>
      </c>
      <c r="D143" s="345">
        <f>IF(F142+SUM(E$99:E142)=D$92,F142,D$92-SUM(E$99:E142))</f>
        <v>0</v>
      </c>
      <c r="E143" s="482">
        <f t="shared" si="27"/>
        <v>0</v>
      </c>
      <c r="F143" s="483">
        <f t="shared" si="28"/>
        <v>0</v>
      </c>
      <c r="G143" s="483">
        <f t="shared" si="29"/>
        <v>0</v>
      </c>
      <c r="H143" s="611">
        <f t="shared" si="30"/>
        <v>0</v>
      </c>
      <c r="I143" s="612">
        <f t="shared" si="31"/>
        <v>0</v>
      </c>
      <c r="J143" s="476">
        <f t="shared" si="32"/>
        <v>0</v>
      </c>
      <c r="K143" s="476"/>
      <c r="L143" s="485"/>
      <c r="M143" s="476">
        <f t="shared" si="33"/>
        <v>0</v>
      </c>
      <c r="N143" s="485"/>
      <c r="O143" s="476">
        <f t="shared" si="34"/>
        <v>0</v>
      </c>
      <c r="P143" s="476">
        <f t="shared" si="35"/>
        <v>0</v>
      </c>
    </row>
    <row r="144" spans="2:16">
      <c r="B144" s="160" t="str">
        <f t="shared" si="24"/>
        <v/>
      </c>
      <c r="C144" s="470">
        <f>IF(D93="","-",+C143+1)</f>
        <v>2062</v>
      </c>
      <c r="D144" s="345">
        <f>IF(F143+SUM(E$99:E143)=D$92,F143,D$92-SUM(E$99:E143))</f>
        <v>0</v>
      </c>
      <c r="E144" s="482">
        <f t="shared" si="27"/>
        <v>0</v>
      </c>
      <c r="F144" s="483">
        <f t="shared" si="28"/>
        <v>0</v>
      </c>
      <c r="G144" s="483">
        <f t="shared" si="29"/>
        <v>0</v>
      </c>
      <c r="H144" s="611">
        <f t="shared" si="30"/>
        <v>0</v>
      </c>
      <c r="I144" s="612">
        <f t="shared" si="31"/>
        <v>0</v>
      </c>
      <c r="J144" s="476">
        <f t="shared" si="32"/>
        <v>0</v>
      </c>
      <c r="K144" s="476"/>
      <c r="L144" s="485"/>
      <c r="M144" s="476">
        <f t="shared" si="33"/>
        <v>0</v>
      </c>
      <c r="N144" s="485"/>
      <c r="O144" s="476">
        <f t="shared" si="34"/>
        <v>0</v>
      </c>
      <c r="P144" s="476">
        <f t="shared" si="35"/>
        <v>0</v>
      </c>
    </row>
    <row r="145" spans="2:16">
      <c r="B145" s="160" t="str">
        <f t="shared" si="24"/>
        <v/>
      </c>
      <c r="C145" s="470">
        <f>IF(D93="","-",+C144+1)</f>
        <v>2063</v>
      </c>
      <c r="D145" s="345">
        <f>IF(F144+SUM(E$99:E144)=D$92,F144,D$92-SUM(E$99:E144))</f>
        <v>0</v>
      </c>
      <c r="E145" s="482">
        <f t="shared" si="27"/>
        <v>0</v>
      </c>
      <c r="F145" s="483">
        <f t="shared" si="28"/>
        <v>0</v>
      </c>
      <c r="G145" s="483">
        <f t="shared" si="29"/>
        <v>0</v>
      </c>
      <c r="H145" s="611">
        <f t="shared" si="30"/>
        <v>0</v>
      </c>
      <c r="I145" s="612">
        <f t="shared" si="31"/>
        <v>0</v>
      </c>
      <c r="J145" s="476">
        <f t="shared" si="32"/>
        <v>0</v>
      </c>
      <c r="K145" s="476"/>
      <c r="L145" s="485"/>
      <c r="M145" s="476">
        <f t="shared" si="33"/>
        <v>0</v>
      </c>
      <c r="N145" s="485"/>
      <c r="O145" s="476">
        <f t="shared" si="34"/>
        <v>0</v>
      </c>
      <c r="P145" s="476">
        <f t="shared" si="35"/>
        <v>0</v>
      </c>
    </row>
    <row r="146" spans="2:16">
      <c r="B146" s="160" t="str">
        <f t="shared" si="24"/>
        <v/>
      </c>
      <c r="C146" s="470">
        <f>IF(D93="","-",+C145+1)</f>
        <v>2064</v>
      </c>
      <c r="D146" s="345">
        <f>IF(F145+SUM(E$99:E145)=D$92,F145,D$92-SUM(E$99:E145))</f>
        <v>0</v>
      </c>
      <c r="E146" s="482">
        <f t="shared" si="27"/>
        <v>0</v>
      </c>
      <c r="F146" s="483">
        <f t="shared" si="28"/>
        <v>0</v>
      </c>
      <c r="G146" s="483">
        <f t="shared" si="29"/>
        <v>0</v>
      </c>
      <c r="H146" s="611">
        <f t="shared" si="30"/>
        <v>0</v>
      </c>
      <c r="I146" s="612">
        <f t="shared" si="31"/>
        <v>0</v>
      </c>
      <c r="J146" s="476">
        <f t="shared" si="32"/>
        <v>0</v>
      </c>
      <c r="K146" s="476"/>
      <c r="L146" s="485"/>
      <c r="M146" s="476">
        <f t="shared" si="33"/>
        <v>0</v>
      </c>
      <c r="N146" s="485"/>
      <c r="O146" s="476">
        <f t="shared" si="34"/>
        <v>0</v>
      </c>
      <c r="P146" s="476">
        <f t="shared" si="35"/>
        <v>0</v>
      </c>
    </row>
    <row r="147" spans="2:16">
      <c r="B147" s="160" t="str">
        <f t="shared" si="24"/>
        <v/>
      </c>
      <c r="C147" s="470">
        <f>IF(D93="","-",+C146+1)</f>
        <v>2065</v>
      </c>
      <c r="D147" s="345">
        <f>IF(F146+SUM(E$99:E146)=D$92,F146,D$92-SUM(E$99:E146))</f>
        <v>0</v>
      </c>
      <c r="E147" s="482">
        <f t="shared" si="27"/>
        <v>0</v>
      </c>
      <c r="F147" s="483">
        <f t="shared" si="28"/>
        <v>0</v>
      </c>
      <c r="G147" s="483">
        <f t="shared" si="29"/>
        <v>0</v>
      </c>
      <c r="H147" s="611">
        <f t="shared" si="30"/>
        <v>0</v>
      </c>
      <c r="I147" s="612">
        <f t="shared" si="31"/>
        <v>0</v>
      </c>
      <c r="J147" s="476">
        <f t="shared" si="32"/>
        <v>0</v>
      </c>
      <c r="K147" s="476"/>
      <c r="L147" s="485"/>
      <c r="M147" s="476">
        <f t="shared" si="33"/>
        <v>0</v>
      </c>
      <c r="N147" s="485"/>
      <c r="O147" s="476">
        <f t="shared" si="34"/>
        <v>0</v>
      </c>
      <c r="P147" s="476">
        <f t="shared" si="35"/>
        <v>0</v>
      </c>
    </row>
    <row r="148" spans="2:16">
      <c r="B148" s="160" t="str">
        <f t="shared" si="24"/>
        <v/>
      </c>
      <c r="C148" s="470">
        <f>IF(D93="","-",+C147+1)</f>
        <v>2066</v>
      </c>
      <c r="D148" s="345">
        <f>IF(F147+SUM(E$99:E147)=D$92,F147,D$92-SUM(E$99:E147))</f>
        <v>0</v>
      </c>
      <c r="E148" s="482">
        <f t="shared" si="27"/>
        <v>0</v>
      </c>
      <c r="F148" s="483">
        <f t="shared" si="28"/>
        <v>0</v>
      </c>
      <c r="G148" s="483">
        <f t="shared" si="29"/>
        <v>0</v>
      </c>
      <c r="H148" s="611">
        <f t="shared" si="30"/>
        <v>0</v>
      </c>
      <c r="I148" s="612">
        <f t="shared" si="31"/>
        <v>0</v>
      </c>
      <c r="J148" s="476">
        <f t="shared" si="32"/>
        <v>0</v>
      </c>
      <c r="K148" s="476"/>
      <c r="L148" s="485"/>
      <c r="M148" s="476">
        <f t="shared" si="33"/>
        <v>0</v>
      </c>
      <c r="N148" s="485"/>
      <c r="O148" s="476">
        <f t="shared" si="34"/>
        <v>0</v>
      </c>
      <c r="P148" s="476">
        <f t="shared" si="35"/>
        <v>0</v>
      </c>
    </row>
    <row r="149" spans="2:16">
      <c r="B149" s="160" t="str">
        <f t="shared" si="24"/>
        <v/>
      </c>
      <c r="C149" s="470">
        <f>IF(D93="","-",+C148+1)</f>
        <v>2067</v>
      </c>
      <c r="D149" s="345">
        <f>IF(F148+SUM(E$99:E148)=D$92,F148,D$92-SUM(E$99:E148))</f>
        <v>0</v>
      </c>
      <c r="E149" s="482">
        <f t="shared" si="27"/>
        <v>0</v>
      </c>
      <c r="F149" s="483">
        <f t="shared" si="28"/>
        <v>0</v>
      </c>
      <c r="G149" s="483">
        <f t="shared" si="29"/>
        <v>0</v>
      </c>
      <c r="H149" s="611">
        <f t="shared" si="30"/>
        <v>0</v>
      </c>
      <c r="I149" s="612">
        <f t="shared" si="31"/>
        <v>0</v>
      </c>
      <c r="J149" s="476">
        <f t="shared" si="32"/>
        <v>0</v>
      </c>
      <c r="K149" s="476"/>
      <c r="L149" s="485"/>
      <c r="M149" s="476">
        <f t="shared" si="33"/>
        <v>0</v>
      </c>
      <c r="N149" s="485"/>
      <c r="O149" s="476">
        <f t="shared" si="34"/>
        <v>0</v>
      </c>
      <c r="P149" s="476">
        <f t="shared" si="35"/>
        <v>0</v>
      </c>
    </row>
    <row r="150" spans="2:16">
      <c r="B150" s="160" t="str">
        <f t="shared" si="24"/>
        <v/>
      </c>
      <c r="C150" s="470">
        <f>IF(D93="","-",+C149+1)</f>
        <v>2068</v>
      </c>
      <c r="D150" s="345">
        <f>IF(F149+SUM(E$99:E149)=D$92,F149,D$92-SUM(E$99:E149))</f>
        <v>0</v>
      </c>
      <c r="E150" s="482">
        <f t="shared" si="27"/>
        <v>0</v>
      </c>
      <c r="F150" s="483">
        <f t="shared" si="28"/>
        <v>0</v>
      </c>
      <c r="G150" s="483">
        <f t="shared" si="29"/>
        <v>0</v>
      </c>
      <c r="H150" s="611">
        <f t="shared" si="30"/>
        <v>0</v>
      </c>
      <c r="I150" s="612">
        <f t="shared" si="31"/>
        <v>0</v>
      </c>
      <c r="J150" s="476">
        <f t="shared" si="32"/>
        <v>0</v>
      </c>
      <c r="K150" s="476"/>
      <c r="L150" s="485"/>
      <c r="M150" s="476">
        <f t="shared" si="33"/>
        <v>0</v>
      </c>
      <c r="N150" s="485"/>
      <c r="O150" s="476">
        <f t="shared" si="34"/>
        <v>0</v>
      </c>
      <c r="P150" s="476">
        <f t="shared" si="35"/>
        <v>0</v>
      </c>
    </row>
    <row r="151" spans="2:16">
      <c r="B151" s="160" t="str">
        <f t="shared" si="24"/>
        <v/>
      </c>
      <c r="C151" s="470">
        <f>IF(D93="","-",+C150+1)</f>
        <v>2069</v>
      </c>
      <c r="D151" s="345">
        <f>IF(F150+SUM(E$99:E150)=D$92,F150,D$92-SUM(E$99:E150))</f>
        <v>0</v>
      </c>
      <c r="E151" s="482">
        <f t="shared" si="27"/>
        <v>0</v>
      </c>
      <c r="F151" s="483">
        <f t="shared" si="28"/>
        <v>0</v>
      </c>
      <c r="G151" s="483">
        <f t="shared" si="29"/>
        <v>0</v>
      </c>
      <c r="H151" s="611">
        <f t="shared" si="30"/>
        <v>0</v>
      </c>
      <c r="I151" s="612">
        <f t="shared" si="31"/>
        <v>0</v>
      </c>
      <c r="J151" s="476">
        <f t="shared" si="32"/>
        <v>0</v>
      </c>
      <c r="K151" s="476"/>
      <c r="L151" s="485"/>
      <c r="M151" s="476">
        <f t="shared" si="33"/>
        <v>0</v>
      </c>
      <c r="N151" s="485"/>
      <c r="O151" s="476">
        <f t="shared" si="34"/>
        <v>0</v>
      </c>
      <c r="P151" s="476">
        <f t="shared" si="35"/>
        <v>0</v>
      </c>
    </row>
    <row r="152" spans="2:16">
      <c r="B152" s="160" t="str">
        <f t="shared" si="24"/>
        <v/>
      </c>
      <c r="C152" s="470">
        <f>IF(D93="","-",+C151+1)</f>
        <v>2070</v>
      </c>
      <c r="D152" s="345">
        <f>IF(F151+SUM(E$99:E151)=D$92,F151,D$92-SUM(E$99:E151))</f>
        <v>0</v>
      </c>
      <c r="E152" s="482">
        <f t="shared" si="27"/>
        <v>0</v>
      </c>
      <c r="F152" s="483">
        <f t="shared" si="28"/>
        <v>0</v>
      </c>
      <c r="G152" s="483">
        <f t="shared" si="29"/>
        <v>0</v>
      </c>
      <c r="H152" s="611">
        <f t="shared" si="30"/>
        <v>0</v>
      </c>
      <c r="I152" s="612">
        <f t="shared" si="31"/>
        <v>0</v>
      </c>
      <c r="J152" s="476">
        <f t="shared" si="32"/>
        <v>0</v>
      </c>
      <c r="K152" s="476"/>
      <c r="L152" s="485"/>
      <c r="M152" s="476">
        <f t="shared" si="33"/>
        <v>0</v>
      </c>
      <c r="N152" s="485"/>
      <c r="O152" s="476">
        <f t="shared" si="34"/>
        <v>0</v>
      </c>
      <c r="P152" s="476">
        <f t="shared" si="35"/>
        <v>0</v>
      </c>
    </row>
    <row r="153" spans="2:16">
      <c r="B153" s="160" t="str">
        <f t="shared" si="24"/>
        <v/>
      </c>
      <c r="C153" s="470">
        <f>IF(D93="","-",+C152+1)</f>
        <v>2071</v>
      </c>
      <c r="D153" s="345">
        <f>IF(F152+SUM(E$99:E152)=D$92,F152,D$92-SUM(E$99:E152))</f>
        <v>0</v>
      </c>
      <c r="E153" s="482">
        <f t="shared" si="27"/>
        <v>0</v>
      </c>
      <c r="F153" s="483">
        <f t="shared" si="28"/>
        <v>0</v>
      </c>
      <c r="G153" s="483">
        <f t="shared" si="29"/>
        <v>0</v>
      </c>
      <c r="H153" s="611">
        <f t="shared" si="30"/>
        <v>0</v>
      </c>
      <c r="I153" s="612">
        <f t="shared" si="31"/>
        <v>0</v>
      </c>
      <c r="J153" s="476">
        <f t="shared" si="32"/>
        <v>0</v>
      </c>
      <c r="K153" s="476"/>
      <c r="L153" s="485"/>
      <c r="M153" s="476">
        <f t="shared" si="33"/>
        <v>0</v>
      </c>
      <c r="N153" s="485"/>
      <c r="O153" s="476">
        <f t="shared" si="34"/>
        <v>0</v>
      </c>
      <c r="P153" s="476">
        <f t="shared" si="35"/>
        <v>0</v>
      </c>
    </row>
    <row r="154" spans="2:16" ht="13.5" thickBot="1">
      <c r="B154" s="160" t="str">
        <f t="shared" si="24"/>
        <v/>
      </c>
      <c r="C154" s="487">
        <f>IF(D93="","-",+C153+1)</f>
        <v>2072</v>
      </c>
      <c r="D154" s="541">
        <f>IF(F153+SUM(E$99:E153)=D$92,F153,D$92-SUM(E$99:E153))</f>
        <v>0</v>
      </c>
      <c r="E154" s="489">
        <f t="shared" si="27"/>
        <v>0</v>
      </c>
      <c r="F154" s="488">
        <f t="shared" si="28"/>
        <v>0</v>
      </c>
      <c r="G154" s="488">
        <f t="shared" si="29"/>
        <v>0</v>
      </c>
      <c r="H154" s="613">
        <f t="shared" si="30"/>
        <v>0</v>
      </c>
      <c r="I154" s="614">
        <f t="shared" si="31"/>
        <v>0</v>
      </c>
      <c r="J154" s="493">
        <f t="shared" si="32"/>
        <v>0</v>
      </c>
      <c r="K154" s="476"/>
      <c r="L154" s="492"/>
      <c r="M154" s="493">
        <f t="shared" si="33"/>
        <v>0</v>
      </c>
      <c r="N154" s="492"/>
      <c r="O154" s="493">
        <f t="shared" si="34"/>
        <v>0</v>
      </c>
      <c r="P154" s="493">
        <f t="shared" si="35"/>
        <v>0</v>
      </c>
    </row>
    <row r="155" spans="2:16">
      <c r="C155" s="345" t="s">
        <v>77</v>
      </c>
      <c r="D155" s="346"/>
      <c r="E155" s="346">
        <f>SUM(E99:E154)</f>
        <v>330872</v>
      </c>
      <c r="F155" s="346"/>
      <c r="G155" s="346"/>
      <c r="H155" s="346">
        <f>SUM(H99:H154)</f>
        <v>1100997.9558417865</v>
      </c>
      <c r="I155" s="346">
        <f>SUM(I99:I154)</f>
        <v>1100997.9558417865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27" priority="1" stopIfTrue="1" operator="equal">
      <formula>$I$10</formula>
    </cfRule>
  </conditionalFormatting>
  <conditionalFormatting sqref="C99:C154">
    <cfRule type="cellIs" dxfId="26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71"/>
  <dimension ref="A1:P162"/>
  <sheetViews>
    <sheetView topLeftCell="A85" zoomScaleNormal="100" zoomScaleSheetLayoutView="78" workbookViewId="0">
      <selection activeCell="D99" sqref="D99:I10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22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30127.747736725432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30127.747736725432</v>
      </c>
      <c r="O6" s="231"/>
      <c r="P6" s="231"/>
    </row>
    <row r="7" spans="1:16" ht="13.5" thickBot="1">
      <c r="C7" s="429" t="s">
        <v>46</v>
      </c>
      <c r="D7" s="597" t="s">
        <v>280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301</v>
      </c>
      <c r="E9" s="575" t="s">
        <v>302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244000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2018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6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6421.0526315789475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2018</v>
      </c>
      <c r="D17" s="582">
        <v>0</v>
      </c>
      <c r="E17" s="606">
        <v>2711.1111111111113</v>
      </c>
      <c r="F17" s="582">
        <v>241288.88888888888</v>
      </c>
      <c r="G17" s="606">
        <v>17159.361980055266</v>
      </c>
      <c r="H17" s="585">
        <v>17159.361980055266</v>
      </c>
      <c r="I17" s="473">
        <f t="shared" ref="I17:I72" si="0">H17-G17</f>
        <v>0</v>
      </c>
      <c r="J17" s="473"/>
      <c r="K17" s="552">
        <f t="shared" ref="K17:K22" si="1">+G17</f>
        <v>17159.361980055266</v>
      </c>
      <c r="L17" s="475">
        <f t="shared" ref="L17:L72" si="2">IF(K17&lt;&gt;0,+G17-K17,0)</f>
        <v>0</v>
      </c>
      <c r="M17" s="552">
        <f t="shared" ref="M17:M22" si="3">+H17</f>
        <v>17159.361980055266</v>
      </c>
      <c r="N17" s="475">
        <f t="shared" ref="N17:N72" si="4">IF(M17&lt;&gt;0,+H17-M17,0)</f>
        <v>0</v>
      </c>
      <c r="O17" s="476">
        <f t="shared" ref="O17:O72" si="5">+N17-L17</f>
        <v>0</v>
      </c>
      <c r="P17" s="241"/>
    </row>
    <row r="18" spans="2:16">
      <c r="B18" s="160" t="str">
        <f>IF(D18=F17,"","IU")</f>
        <v/>
      </c>
      <c r="C18" s="470">
        <f>IF(D11="","-",+C17+1)</f>
        <v>2019</v>
      </c>
      <c r="D18" s="582">
        <v>241288.88888888888</v>
      </c>
      <c r="E18" s="583">
        <v>6100</v>
      </c>
      <c r="F18" s="582">
        <v>235188.88888888888</v>
      </c>
      <c r="G18" s="583">
        <v>32700.951777404996</v>
      </c>
      <c r="H18" s="585">
        <v>32700.951777404996</v>
      </c>
      <c r="I18" s="473">
        <f t="shared" si="0"/>
        <v>0</v>
      </c>
      <c r="J18" s="473"/>
      <c r="K18" s="476">
        <f t="shared" si="1"/>
        <v>32700.951777404996</v>
      </c>
      <c r="L18" s="476">
        <f t="shared" si="2"/>
        <v>0</v>
      </c>
      <c r="M18" s="476">
        <f t="shared" si="3"/>
        <v>32700.951777404996</v>
      </c>
      <c r="N18" s="476">
        <f t="shared" si="4"/>
        <v>0</v>
      </c>
      <c r="O18" s="476">
        <f t="shared" si="5"/>
        <v>0</v>
      </c>
      <c r="P18" s="241"/>
    </row>
    <row r="19" spans="2:16">
      <c r="B19" s="160" t="str">
        <f>IF(D19=F18,"","IU")</f>
        <v>IU</v>
      </c>
      <c r="C19" s="470">
        <f>IF(D11="","-",+C18+1)</f>
        <v>2020</v>
      </c>
      <c r="D19" s="582">
        <v>235866.66666666666</v>
      </c>
      <c r="E19" s="583">
        <v>5809.5238095238092</v>
      </c>
      <c r="F19" s="582">
        <v>230057.14285714284</v>
      </c>
      <c r="G19" s="583">
        <v>30970.52236185109</v>
      </c>
      <c r="H19" s="585">
        <v>30970.52236185109</v>
      </c>
      <c r="I19" s="473">
        <f t="shared" si="0"/>
        <v>0</v>
      </c>
      <c r="J19" s="473"/>
      <c r="K19" s="476">
        <f t="shared" si="1"/>
        <v>30970.52236185109</v>
      </c>
      <c r="L19" s="476">
        <f t="shared" ref="L19" si="6">IF(K19&lt;&gt;0,+G19-K19,0)</f>
        <v>0</v>
      </c>
      <c r="M19" s="476">
        <f t="shared" si="3"/>
        <v>30970.52236185109</v>
      </c>
      <c r="N19" s="476">
        <f t="shared" si="4"/>
        <v>0</v>
      </c>
      <c r="O19" s="476">
        <f t="shared" si="5"/>
        <v>0</v>
      </c>
      <c r="P19" s="241"/>
    </row>
    <row r="20" spans="2:16">
      <c r="B20" s="160" t="str">
        <f t="shared" ref="B20:B72" si="7">IF(D20=F19,"","IU")</f>
        <v>IU</v>
      </c>
      <c r="C20" s="470">
        <f>IF(D11="","-",+C19+1)</f>
        <v>2021</v>
      </c>
      <c r="D20" s="582">
        <v>229379.36507936509</v>
      </c>
      <c r="E20" s="583">
        <v>5674.4186046511632</v>
      </c>
      <c r="F20" s="582">
        <v>223704.94647471391</v>
      </c>
      <c r="G20" s="583">
        <v>30100.568065113996</v>
      </c>
      <c r="H20" s="585">
        <v>30100.568065113996</v>
      </c>
      <c r="I20" s="473">
        <f t="shared" si="0"/>
        <v>0</v>
      </c>
      <c r="J20" s="473"/>
      <c r="K20" s="476">
        <f t="shared" si="1"/>
        <v>30100.568065113996</v>
      </c>
      <c r="L20" s="476">
        <f t="shared" ref="L20" si="8">IF(K20&lt;&gt;0,+G20-K20,0)</f>
        <v>0</v>
      </c>
      <c r="M20" s="476">
        <f t="shared" si="3"/>
        <v>30100.568065113996</v>
      </c>
      <c r="N20" s="476">
        <f t="shared" si="4"/>
        <v>0</v>
      </c>
      <c r="O20" s="476">
        <f t="shared" si="5"/>
        <v>0</v>
      </c>
      <c r="P20" s="241"/>
    </row>
    <row r="21" spans="2:16">
      <c r="B21" s="160" t="str">
        <f t="shared" si="7"/>
        <v/>
      </c>
      <c r="C21" s="470">
        <f>IF(D11="","-",+C20+1)</f>
        <v>2022</v>
      </c>
      <c r="D21" s="582">
        <v>223704.94647471391</v>
      </c>
      <c r="E21" s="583">
        <v>5809.5238095238092</v>
      </c>
      <c r="F21" s="582">
        <v>217895.4226651901</v>
      </c>
      <c r="G21" s="583">
        <v>29614.266782481478</v>
      </c>
      <c r="H21" s="585">
        <v>29614.266782481478</v>
      </c>
      <c r="I21" s="473">
        <f t="shared" si="0"/>
        <v>0</v>
      </c>
      <c r="J21" s="473"/>
      <c r="K21" s="476">
        <f t="shared" si="1"/>
        <v>29614.266782481478</v>
      </c>
      <c r="L21" s="476">
        <f t="shared" ref="L21" si="9">IF(K21&lt;&gt;0,+G21-K21,0)</f>
        <v>0</v>
      </c>
      <c r="M21" s="476">
        <f t="shared" si="3"/>
        <v>29614.266782481478</v>
      </c>
      <c r="N21" s="476">
        <f t="shared" si="4"/>
        <v>0</v>
      </c>
      <c r="O21" s="476">
        <f t="shared" si="5"/>
        <v>0</v>
      </c>
      <c r="P21" s="241"/>
    </row>
    <row r="22" spans="2:16">
      <c r="B22" s="160" t="str">
        <f t="shared" si="7"/>
        <v/>
      </c>
      <c r="C22" s="470">
        <f>IF(D11="","-",+C21+1)</f>
        <v>2023</v>
      </c>
      <c r="D22" s="582">
        <v>217895.4226651901</v>
      </c>
      <c r="E22" s="583">
        <v>6256.4102564102568</v>
      </c>
      <c r="F22" s="582">
        <v>211639.01240877985</v>
      </c>
      <c r="G22" s="583">
        <v>31890.799977104634</v>
      </c>
      <c r="H22" s="585">
        <v>31890.799977104634</v>
      </c>
      <c r="I22" s="473">
        <f t="shared" si="0"/>
        <v>0</v>
      </c>
      <c r="J22" s="473"/>
      <c r="K22" s="476">
        <f t="shared" si="1"/>
        <v>31890.799977104634</v>
      </c>
      <c r="L22" s="476">
        <f t="shared" ref="L22" si="10">IF(K22&lt;&gt;0,+G22-K22,0)</f>
        <v>0</v>
      </c>
      <c r="M22" s="476">
        <f t="shared" si="3"/>
        <v>31890.799977104634</v>
      </c>
      <c r="N22" s="476">
        <f t="shared" ref="N22" si="11">IF(M22&lt;&gt;0,+H22-M22,0)</f>
        <v>0</v>
      </c>
      <c r="O22" s="476">
        <f t="shared" ref="O22" si="12">+N22-L22</f>
        <v>0</v>
      </c>
      <c r="P22" s="241"/>
    </row>
    <row r="23" spans="2:16">
      <c r="B23" s="160" t="str">
        <f t="shared" si="7"/>
        <v/>
      </c>
      <c r="C23" s="631">
        <f>IF(D11="","-",+C22+1)</f>
        <v>2024</v>
      </c>
      <c r="D23" s="481">
        <f>IF(F22+SUM(E$17:E22)=D$10,F22,D$10-SUM(E$17:E22))</f>
        <v>211639.01240877985</v>
      </c>
      <c r="E23" s="482">
        <f t="shared" ref="E23:E72" si="13">IF(+I$14&lt;F22,I$14,D23)</f>
        <v>6421.0526315789475</v>
      </c>
      <c r="F23" s="483">
        <f t="shared" ref="F23:F72" si="14">+D23-E23</f>
        <v>205217.95977720089</v>
      </c>
      <c r="G23" s="484">
        <f t="shared" ref="G23:G72" si="15">(D23+F23)/2*I$12+E23</f>
        <v>30127.747736725432</v>
      </c>
      <c r="H23" s="453">
        <f t="shared" ref="H23:H72" si="16">+(D23+F23)/2*I$13+E23</f>
        <v>30127.747736725432</v>
      </c>
      <c r="I23" s="473">
        <f t="shared" si="0"/>
        <v>0</v>
      </c>
      <c r="J23" s="473"/>
      <c r="K23" s="485"/>
      <c r="L23" s="476">
        <f t="shared" si="2"/>
        <v>0</v>
      </c>
      <c r="M23" s="485"/>
      <c r="N23" s="476">
        <f t="shared" si="4"/>
        <v>0</v>
      </c>
      <c r="O23" s="476">
        <f t="shared" si="5"/>
        <v>0</v>
      </c>
      <c r="P23" s="241"/>
    </row>
    <row r="24" spans="2:16">
      <c r="B24" s="160" t="str">
        <f t="shared" si="7"/>
        <v/>
      </c>
      <c r="C24" s="470">
        <f>IF(D11="","-",+C23+1)</f>
        <v>2025</v>
      </c>
      <c r="D24" s="481">
        <f>IF(F23+SUM(E$17:E23)=D$10,F23,D$10-SUM(E$17:E23))</f>
        <v>205217.95977720089</v>
      </c>
      <c r="E24" s="482">
        <f t="shared" si="13"/>
        <v>6421.0526315789475</v>
      </c>
      <c r="F24" s="483">
        <f t="shared" si="14"/>
        <v>198796.90714562192</v>
      </c>
      <c r="G24" s="484">
        <f t="shared" si="15"/>
        <v>29397.416005951225</v>
      </c>
      <c r="H24" s="453">
        <f t="shared" si="16"/>
        <v>29397.416005951225</v>
      </c>
      <c r="I24" s="473">
        <f t="shared" si="0"/>
        <v>0</v>
      </c>
      <c r="J24" s="473"/>
      <c r="K24" s="485"/>
      <c r="L24" s="476">
        <f t="shared" si="2"/>
        <v>0</v>
      </c>
      <c r="M24" s="485"/>
      <c r="N24" s="476">
        <f t="shared" si="4"/>
        <v>0</v>
      </c>
      <c r="O24" s="476">
        <f t="shared" si="5"/>
        <v>0</v>
      </c>
      <c r="P24" s="241"/>
    </row>
    <row r="25" spans="2:16">
      <c r="B25" s="160" t="str">
        <f t="shared" si="7"/>
        <v/>
      </c>
      <c r="C25" s="470">
        <f>IF(D11="","-",+C24+1)</f>
        <v>2026</v>
      </c>
      <c r="D25" s="481">
        <f>IF(F24+SUM(E$17:E24)=D$10,F24,D$10-SUM(E$17:E24))</f>
        <v>198796.90714562192</v>
      </c>
      <c r="E25" s="482">
        <f t="shared" si="13"/>
        <v>6421.0526315789475</v>
      </c>
      <c r="F25" s="483">
        <f t="shared" si="14"/>
        <v>192375.85451404296</v>
      </c>
      <c r="G25" s="484">
        <f t="shared" si="15"/>
        <v>28667.084275177021</v>
      </c>
      <c r="H25" s="453">
        <f t="shared" si="16"/>
        <v>28667.084275177021</v>
      </c>
      <c r="I25" s="473">
        <f t="shared" si="0"/>
        <v>0</v>
      </c>
      <c r="J25" s="473"/>
      <c r="K25" s="485"/>
      <c r="L25" s="476">
        <f t="shared" si="2"/>
        <v>0</v>
      </c>
      <c r="M25" s="485"/>
      <c r="N25" s="476">
        <f t="shared" si="4"/>
        <v>0</v>
      </c>
      <c r="O25" s="476">
        <f t="shared" si="5"/>
        <v>0</v>
      </c>
      <c r="P25" s="241"/>
    </row>
    <row r="26" spans="2:16">
      <c r="B26" s="160" t="str">
        <f t="shared" si="7"/>
        <v/>
      </c>
      <c r="C26" s="470">
        <f>IF(D11="","-",+C25+1)</f>
        <v>2027</v>
      </c>
      <c r="D26" s="481">
        <f>IF(F25+SUM(E$17:E25)=D$10,F25,D$10-SUM(E$17:E25))</f>
        <v>192375.85451404296</v>
      </c>
      <c r="E26" s="482">
        <f t="shared" si="13"/>
        <v>6421.0526315789475</v>
      </c>
      <c r="F26" s="483">
        <f t="shared" si="14"/>
        <v>185954.801882464</v>
      </c>
      <c r="G26" s="484">
        <f t="shared" si="15"/>
        <v>27936.752544402814</v>
      </c>
      <c r="H26" s="453">
        <f t="shared" si="16"/>
        <v>27936.752544402814</v>
      </c>
      <c r="I26" s="473">
        <f t="shared" si="0"/>
        <v>0</v>
      </c>
      <c r="J26" s="473"/>
      <c r="K26" s="485"/>
      <c r="L26" s="476">
        <f t="shared" si="2"/>
        <v>0</v>
      </c>
      <c r="M26" s="485"/>
      <c r="N26" s="476">
        <f t="shared" si="4"/>
        <v>0</v>
      </c>
      <c r="O26" s="476">
        <f t="shared" si="5"/>
        <v>0</v>
      </c>
      <c r="P26" s="241"/>
    </row>
    <row r="27" spans="2:16">
      <c r="B27" s="160" t="str">
        <f t="shared" si="7"/>
        <v/>
      </c>
      <c r="C27" s="470">
        <f>IF(D11="","-",+C26+1)</f>
        <v>2028</v>
      </c>
      <c r="D27" s="481">
        <f>IF(F26+SUM(E$17:E26)=D$10,F26,D$10-SUM(E$17:E26))</f>
        <v>185954.801882464</v>
      </c>
      <c r="E27" s="482">
        <f t="shared" si="13"/>
        <v>6421.0526315789475</v>
      </c>
      <c r="F27" s="483">
        <f t="shared" si="14"/>
        <v>179533.74925088504</v>
      </c>
      <c r="G27" s="484">
        <f t="shared" si="15"/>
        <v>27206.420813628614</v>
      </c>
      <c r="H27" s="453">
        <f t="shared" si="16"/>
        <v>27206.420813628614</v>
      </c>
      <c r="I27" s="473">
        <f t="shared" si="0"/>
        <v>0</v>
      </c>
      <c r="J27" s="473"/>
      <c r="K27" s="485"/>
      <c r="L27" s="476">
        <f t="shared" si="2"/>
        <v>0</v>
      </c>
      <c r="M27" s="485"/>
      <c r="N27" s="476">
        <f t="shared" si="4"/>
        <v>0</v>
      </c>
      <c r="O27" s="476">
        <f t="shared" si="5"/>
        <v>0</v>
      </c>
      <c r="P27" s="241"/>
    </row>
    <row r="28" spans="2:16">
      <c r="B28" s="160" t="str">
        <f t="shared" si="7"/>
        <v/>
      </c>
      <c r="C28" s="470">
        <f>IF(D11="","-",+C27+1)</f>
        <v>2029</v>
      </c>
      <c r="D28" s="481">
        <f>IF(F27+SUM(E$17:E27)=D$10,F27,D$10-SUM(E$17:E27))</f>
        <v>179533.74925088504</v>
      </c>
      <c r="E28" s="482">
        <f t="shared" si="13"/>
        <v>6421.0526315789475</v>
      </c>
      <c r="F28" s="483">
        <f t="shared" si="14"/>
        <v>173112.69661930608</v>
      </c>
      <c r="G28" s="484">
        <f t="shared" si="15"/>
        <v>26476.089082854403</v>
      </c>
      <c r="H28" s="453">
        <f t="shared" si="16"/>
        <v>26476.089082854403</v>
      </c>
      <c r="I28" s="473">
        <f t="shared" si="0"/>
        <v>0</v>
      </c>
      <c r="J28" s="473"/>
      <c r="K28" s="485"/>
      <c r="L28" s="476">
        <f t="shared" si="2"/>
        <v>0</v>
      </c>
      <c r="M28" s="485"/>
      <c r="N28" s="476">
        <f t="shared" si="4"/>
        <v>0</v>
      </c>
      <c r="O28" s="476">
        <f t="shared" si="5"/>
        <v>0</v>
      </c>
      <c r="P28" s="241"/>
    </row>
    <row r="29" spans="2:16">
      <c r="B29" s="160" t="str">
        <f t="shared" si="7"/>
        <v/>
      </c>
      <c r="C29" s="470">
        <f>IF(D11="","-",+C28+1)</f>
        <v>2030</v>
      </c>
      <c r="D29" s="481">
        <f>IF(F28+SUM(E$17:E28)=D$10,F28,D$10-SUM(E$17:E28))</f>
        <v>173112.69661930608</v>
      </c>
      <c r="E29" s="482">
        <f t="shared" si="13"/>
        <v>6421.0526315789475</v>
      </c>
      <c r="F29" s="483">
        <f t="shared" si="14"/>
        <v>166691.64398772712</v>
      </c>
      <c r="G29" s="484">
        <f t="shared" si="15"/>
        <v>25745.757352080203</v>
      </c>
      <c r="H29" s="453">
        <f t="shared" si="16"/>
        <v>25745.757352080203</v>
      </c>
      <c r="I29" s="473">
        <f t="shared" si="0"/>
        <v>0</v>
      </c>
      <c r="J29" s="473"/>
      <c r="K29" s="485"/>
      <c r="L29" s="476">
        <f t="shared" si="2"/>
        <v>0</v>
      </c>
      <c r="M29" s="485"/>
      <c r="N29" s="476">
        <f t="shared" si="4"/>
        <v>0</v>
      </c>
      <c r="O29" s="476">
        <f t="shared" si="5"/>
        <v>0</v>
      </c>
      <c r="P29" s="241"/>
    </row>
    <row r="30" spans="2:16">
      <c r="B30" s="160" t="str">
        <f t="shared" si="7"/>
        <v/>
      </c>
      <c r="C30" s="470">
        <f>IF(D11="","-",+C29+1)</f>
        <v>2031</v>
      </c>
      <c r="D30" s="481">
        <f>IF(F29+SUM(E$17:E29)=D$10,F29,D$10-SUM(E$17:E29))</f>
        <v>166691.64398772712</v>
      </c>
      <c r="E30" s="482">
        <f t="shared" si="13"/>
        <v>6421.0526315789475</v>
      </c>
      <c r="F30" s="483">
        <f t="shared" si="14"/>
        <v>160270.59135614816</v>
      </c>
      <c r="G30" s="484">
        <f t="shared" si="15"/>
        <v>25015.425621305996</v>
      </c>
      <c r="H30" s="453">
        <f t="shared" si="16"/>
        <v>25015.425621305996</v>
      </c>
      <c r="I30" s="473">
        <f t="shared" si="0"/>
        <v>0</v>
      </c>
      <c r="J30" s="473"/>
      <c r="K30" s="485"/>
      <c r="L30" s="476">
        <f t="shared" si="2"/>
        <v>0</v>
      </c>
      <c r="M30" s="485"/>
      <c r="N30" s="476">
        <f t="shared" si="4"/>
        <v>0</v>
      </c>
      <c r="O30" s="476">
        <f t="shared" si="5"/>
        <v>0</v>
      </c>
      <c r="P30" s="241"/>
    </row>
    <row r="31" spans="2:16">
      <c r="B31" s="160" t="str">
        <f t="shared" si="7"/>
        <v/>
      </c>
      <c r="C31" s="470">
        <f>IF(D11="","-",+C30+1)</f>
        <v>2032</v>
      </c>
      <c r="D31" s="481">
        <f>IF(F30+SUM(E$17:E30)=D$10,F30,D$10-SUM(E$17:E30))</f>
        <v>160270.59135614816</v>
      </c>
      <c r="E31" s="482">
        <f t="shared" si="13"/>
        <v>6421.0526315789475</v>
      </c>
      <c r="F31" s="483">
        <f t="shared" si="14"/>
        <v>153849.5387245692</v>
      </c>
      <c r="G31" s="484">
        <f t="shared" si="15"/>
        <v>24285.093890531793</v>
      </c>
      <c r="H31" s="453">
        <f t="shared" si="16"/>
        <v>24285.093890531793</v>
      </c>
      <c r="I31" s="473">
        <f t="shared" si="0"/>
        <v>0</v>
      </c>
      <c r="J31" s="473"/>
      <c r="K31" s="485"/>
      <c r="L31" s="476">
        <f t="shared" si="2"/>
        <v>0</v>
      </c>
      <c r="M31" s="485"/>
      <c r="N31" s="476">
        <f t="shared" si="4"/>
        <v>0</v>
      </c>
      <c r="O31" s="476">
        <f t="shared" si="5"/>
        <v>0</v>
      </c>
      <c r="P31" s="241"/>
    </row>
    <row r="32" spans="2:16">
      <c r="B32" s="160" t="str">
        <f t="shared" si="7"/>
        <v/>
      </c>
      <c r="C32" s="470">
        <f>IF(D11="","-",+C31+1)</f>
        <v>2033</v>
      </c>
      <c r="D32" s="481">
        <f>IF(F31+SUM(E$17:E31)=D$10,F31,D$10-SUM(E$17:E31))</f>
        <v>153849.5387245692</v>
      </c>
      <c r="E32" s="482">
        <f t="shared" si="13"/>
        <v>6421.0526315789475</v>
      </c>
      <c r="F32" s="483">
        <f t="shared" si="14"/>
        <v>147428.48609299024</v>
      </c>
      <c r="G32" s="484">
        <f t="shared" si="15"/>
        <v>23554.762159757585</v>
      </c>
      <c r="H32" s="453">
        <f t="shared" si="16"/>
        <v>23554.762159757585</v>
      </c>
      <c r="I32" s="473">
        <f t="shared" si="0"/>
        <v>0</v>
      </c>
      <c r="J32" s="473"/>
      <c r="K32" s="485"/>
      <c r="L32" s="476">
        <f t="shared" si="2"/>
        <v>0</v>
      </c>
      <c r="M32" s="485"/>
      <c r="N32" s="476">
        <f t="shared" si="4"/>
        <v>0</v>
      </c>
      <c r="O32" s="476">
        <f t="shared" si="5"/>
        <v>0</v>
      </c>
      <c r="P32" s="241"/>
    </row>
    <row r="33" spans="2:16">
      <c r="B33" s="160" t="str">
        <f t="shared" si="7"/>
        <v/>
      </c>
      <c r="C33" s="470">
        <f>IF(D11="","-",+C32+1)</f>
        <v>2034</v>
      </c>
      <c r="D33" s="481">
        <f>IF(F32+SUM(E$17:E32)=D$10,F32,D$10-SUM(E$17:E32))</f>
        <v>147428.48609299024</v>
      </c>
      <c r="E33" s="482">
        <f t="shared" si="13"/>
        <v>6421.0526315789475</v>
      </c>
      <c r="F33" s="483">
        <f t="shared" si="14"/>
        <v>141007.43346141127</v>
      </c>
      <c r="G33" s="484">
        <f t="shared" si="15"/>
        <v>22824.430428983385</v>
      </c>
      <c r="H33" s="453">
        <f t="shared" si="16"/>
        <v>22824.430428983385</v>
      </c>
      <c r="I33" s="473">
        <f t="shared" si="0"/>
        <v>0</v>
      </c>
      <c r="J33" s="473"/>
      <c r="K33" s="485"/>
      <c r="L33" s="476">
        <f t="shared" si="2"/>
        <v>0</v>
      </c>
      <c r="M33" s="485"/>
      <c r="N33" s="476">
        <f t="shared" si="4"/>
        <v>0</v>
      </c>
      <c r="O33" s="476">
        <f t="shared" si="5"/>
        <v>0</v>
      </c>
      <c r="P33" s="241"/>
    </row>
    <row r="34" spans="2:16">
      <c r="B34" s="160" t="str">
        <f t="shared" si="7"/>
        <v/>
      </c>
      <c r="C34" s="470">
        <f>IF(D11="","-",+C33+1)</f>
        <v>2035</v>
      </c>
      <c r="D34" s="481">
        <f>IF(F33+SUM(E$17:E33)=D$10,F33,D$10-SUM(E$17:E33))</f>
        <v>141007.43346141127</v>
      </c>
      <c r="E34" s="482">
        <f t="shared" si="13"/>
        <v>6421.0526315789475</v>
      </c>
      <c r="F34" s="483">
        <f t="shared" si="14"/>
        <v>134586.38082983231</v>
      </c>
      <c r="G34" s="484">
        <f t="shared" si="15"/>
        <v>22094.098698209178</v>
      </c>
      <c r="H34" s="453">
        <f t="shared" si="16"/>
        <v>22094.098698209178</v>
      </c>
      <c r="I34" s="473">
        <f t="shared" si="0"/>
        <v>0</v>
      </c>
      <c r="J34" s="473"/>
      <c r="K34" s="485"/>
      <c r="L34" s="476">
        <f t="shared" si="2"/>
        <v>0</v>
      </c>
      <c r="M34" s="485"/>
      <c r="N34" s="476">
        <f t="shared" si="4"/>
        <v>0</v>
      </c>
      <c r="O34" s="476">
        <f t="shared" si="5"/>
        <v>0</v>
      </c>
      <c r="P34" s="241"/>
    </row>
    <row r="35" spans="2:16">
      <c r="B35" s="160" t="str">
        <f t="shared" si="7"/>
        <v/>
      </c>
      <c r="C35" s="470">
        <f>IF(D11="","-",+C34+1)</f>
        <v>2036</v>
      </c>
      <c r="D35" s="481">
        <f>IF(F34+SUM(E$17:E34)=D$10,F34,D$10-SUM(E$17:E34))</f>
        <v>134586.38082983231</v>
      </c>
      <c r="E35" s="482">
        <f t="shared" si="13"/>
        <v>6421.0526315789475</v>
      </c>
      <c r="F35" s="483">
        <f t="shared" si="14"/>
        <v>128165.32819825337</v>
      </c>
      <c r="G35" s="484">
        <f t="shared" si="15"/>
        <v>21363.766967434975</v>
      </c>
      <c r="H35" s="453">
        <f t="shared" si="16"/>
        <v>21363.766967434975</v>
      </c>
      <c r="I35" s="473">
        <f t="shared" si="0"/>
        <v>0</v>
      </c>
      <c r="J35" s="473"/>
      <c r="K35" s="485"/>
      <c r="L35" s="476">
        <f t="shared" si="2"/>
        <v>0</v>
      </c>
      <c r="M35" s="485"/>
      <c r="N35" s="476">
        <f t="shared" si="4"/>
        <v>0</v>
      </c>
      <c r="O35" s="476">
        <f t="shared" si="5"/>
        <v>0</v>
      </c>
      <c r="P35" s="241"/>
    </row>
    <row r="36" spans="2:16">
      <c r="B36" s="160" t="str">
        <f t="shared" si="7"/>
        <v/>
      </c>
      <c r="C36" s="470">
        <f>IF(D11="","-",+C35+1)</f>
        <v>2037</v>
      </c>
      <c r="D36" s="481">
        <f>IF(F35+SUM(E$17:E35)=D$10,F35,D$10-SUM(E$17:E35))</f>
        <v>128165.32819825337</v>
      </c>
      <c r="E36" s="482">
        <f t="shared" si="13"/>
        <v>6421.0526315789475</v>
      </c>
      <c r="F36" s="483">
        <f t="shared" si="14"/>
        <v>121744.27556667442</v>
      </c>
      <c r="G36" s="484">
        <f t="shared" si="15"/>
        <v>20633.435236660771</v>
      </c>
      <c r="H36" s="453">
        <f t="shared" si="16"/>
        <v>20633.435236660771</v>
      </c>
      <c r="I36" s="473">
        <f t="shared" si="0"/>
        <v>0</v>
      </c>
      <c r="J36" s="473"/>
      <c r="K36" s="485"/>
      <c r="L36" s="476">
        <f t="shared" si="2"/>
        <v>0</v>
      </c>
      <c r="M36" s="485"/>
      <c r="N36" s="476">
        <f t="shared" si="4"/>
        <v>0</v>
      </c>
      <c r="O36" s="476">
        <f t="shared" si="5"/>
        <v>0</v>
      </c>
      <c r="P36" s="241"/>
    </row>
    <row r="37" spans="2:16">
      <c r="B37" s="160" t="str">
        <f t="shared" si="7"/>
        <v/>
      </c>
      <c r="C37" s="470">
        <f>IF(D11="","-",+C36+1)</f>
        <v>2038</v>
      </c>
      <c r="D37" s="481">
        <f>IF(F36+SUM(E$17:E36)=D$10,F36,D$10-SUM(E$17:E36))</f>
        <v>121744.27556667442</v>
      </c>
      <c r="E37" s="482">
        <f t="shared" si="13"/>
        <v>6421.0526315789475</v>
      </c>
      <c r="F37" s="483">
        <f t="shared" si="14"/>
        <v>115323.22293509547</v>
      </c>
      <c r="G37" s="484">
        <f t="shared" si="15"/>
        <v>19903.103505886571</v>
      </c>
      <c r="H37" s="453">
        <f t="shared" si="16"/>
        <v>19903.103505886571</v>
      </c>
      <c r="I37" s="473">
        <f t="shared" si="0"/>
        <v>0</v>
      </c>
      <c r="J37" s="473"/>
      <c r="K37" s="485"/>
      <c r="L37" s="476">
        <f t="shared" si="2"/>
        <v>0</v>
      </c>
      <c r="M37" s="485"/>
      <c r="N37" s="476">
        <f t="shared" si="4"/>
        <v>0</v>
      </c>
      <c r="O37" s="476">
        <f t="shared" si="5"/>
        <v>0</v>
      </c>
      <c r="P37" s="241"/>
    </row>
    <row r="38" spans="2:16">
      <c r="B38" s="160" t="str">
        <f t="shared" si="7"/>
        <v/>
      </c>
      <c r="C38" s="470">
        <f>IF(D11="","-",+C37+1)</f>
        <v>2039</v>
      </c>
      <c r="D38" s="481">
        <f>IF(F37+SUM(E$17:E37)=D$10,F37,D$10-SUM(E$17:E37))</f>
        <v>115323.22293509547</v>
      </c>
      <c r="E38" s="482">
        <f t="shared" si="13"/>
        <v>6421.0526315789475</v>
      </c>
      <c r="F38" s="483">
        <f t="shared" si="14"/>
        <v>108902.17030351653</v>
      </c>
      <c r="G38" s="484">
        <f t="shared" si="15"/>
        <v>19172.771775112367</v>
      </c>
      <c r="H38" s="453">
        <f t="shared" si="16"/>
        <v>19172.771775112367</v>
      </c>
      <c r="I38" s="473">
        <f t="shared" si="0"/>
        <v>0</v>
      </c>
      <c r="J38" s="473"/>
      <c r="K38" s="485"/>
      <c r="L38" s="476">
        <f t="shared" si="2"/>
        <v>0</v>
      </c>
      <c r="M38" s="485"/>
      <c r="N38" s="476">
        <f t="shared" si="4"/>
        <v>0</v>
      </c>
      <c r="O38" s="476">
        <f t="shared" si="5"/>
        <v>0</v>
      </c>
      <c r="P38" s="241"/>
    </row>
    <row r="39" spans="2:16">
      <c r="B39" s="160" t="str">
        <f t="shared" si="7"/>
        <v/>
      </c>
      <c r="C39" s="470">
        <f>IF(D11="","-",+C38+1)</f>
        <v>2040</v>
      </c>
      <c r="D39" s="481">
        <f>IF(F38+SUM(E$17:E38)=D$10,F38,D$10-SUM(E$17:E38))</f>
        <v>108902.17030351653</v>
      </c>
      <c r="E39" s="482">
        <f t="shared" si="13"/>
        <v>6421.0526315789475</v>
      </c>
      <c r="F39" s="483">
        <f t="shared" si="14"/>
        <v>102481.11767193758</v>
      </c>
      <c r="G39" s="484">
        <f t="shared" si="15"/>
        <v>18442.440044338164</v>
      </c>
      <c r="H39" s="453">
        <f t="shared" si="16"/>
        <v>18442.440044338164</v>
      </c>
      <c r="I39" s="473">
        <f t="shared" si="0"/>
        <v>0</v>
      </c>
      <c r="J39" s="473"/>
      <c r="K39" s="485"/>
      <c r="L39" s="476">
        <f t="shared" si="2"/>
        <v>0</v>
      </c>
      <c r="M39" s="485"/>
      <c r="N39" s="476">
        <f t="shared" si="4"/>
        <v>0</v>
      </c>
      <c r="O39" s="476">
        <f t="shared" si="5"/>
        <v>0</v>
      </c>
      <c r="P39" s="241"/>
    </row>
    <row r="40" spans="2:16">
      <c r="B40" s="160" t="str">
        <f t="shared" si="7"/>
        <v/>
      </c>
      <c r="C40" s="470">
        <f>IF(D11="","-",+C39+1)</f>
        <v>2041</v>
      </c>
      <c r="D40" s="481">
        <f>IF(F39+SUM(E$17:E39)=D$10,F39,D$10-SUM(E$17:E39))</f>
        <v>102481.11767193758</v>
      </c>
      <c r="E40" s="482">
        <f t="shared" si="13"/>
        <v>6421.0526315789475</v>
      </c>
      <c r="F40" s="483">
        <f t="shared" si="14"/>
        <v>96060.065040358633</v>
      </c>
      <c r="G40" s="484">
        <f t="shared" si="15"/>
        <v>17712.10831356396</v>
      </c>
      <c r="H40" s="453">
        <f t="shared" si="16"/>
        <v>17712.10831356396</v>
      </c>
      <c r="I40" s="473">
        <f t="shared" si="0"/>
        <v>0</v>
      </c>
      <c r="J40" s="473"/>
      <c r="K40" s="485"/>
      <c r="L40" s="476">
        <f t="shared" si="2"/>
        <v>0</v>
      </c>
      <c r="M40" s="485"/>
      <c r="N40" s="476">
        <f t="shared" si="4"/>
        <v>0</v>
      </c>
      <c r="O40" s="476">
        <f t="shared" si="5"/>
        <v>0</v>
      </c>
      <c r="P40" s="241"/>
    </row>
    <row r="41" spans="2:16">
      <c r="B41" s="160" t="str">
        <f t="shared" si="7"/>
        <v/>
      </c>
      <c r="C41" s="470">
        <f>IF(D11="","-",+C40+1)</f>
        <v>2042</v>
      </c>
      <c r="D41" s="481">
        <f>IF(F40+SUM(E$17:E40)=D$10,F40,D$10-SUM(E$17:E40))</f>
        <v>96060.065040358633</v>
      </c>
      <c r="E41" s="482">
        <f t="shared" si="13"/>
        <v>6421.0526315789475</v>
      </c>
      <c r="F41" s="483">
        <f t="shared" si="14"/>
        <v>89639.012408779687</v>
      </c>
      <c r="G41" s="484">
        <f t="shared" si="15"/>
        <v>16981.776582789757</v>
      </c>
      <c r="H41" s="453">
        <f t="shared" si="16"/>
        <v>16981.776582789757</v>
      </c>
      <c r="I41" s="473">
        <f t="shared" si="0"/>
        <v>0</v>
      </c>
      <c r="J41" s="473"/>
      <c r="K41" s="485"/>
      <c r="L41" s="476">
        <f t="shared" si="2"/>
        <v>0</v>
      </c>
      <c r="M41" s="485"/>
      <c r="N41" s="476">
        <f t="shared" si="4"/>
        <v>0</v>
      </c>
      <c r="O41" s="476">
        <f t="shared" si="5"/>
        <v>0</v>
      </c>
      <c r="P41" s="241"/>
    </row>
    <row r="42" spans="2:16">
      <c r="B42" s="160" t="str">
        <f t="shared" si="7"/>
        <v/>
      </c>
      <c r="C42" s="470">
        <f>IF(D11="","-",+C41+1)</f>
        <v>2043</v>
      </c>
      <c r="D42" s="481">
        <f>IF(F41+SUM(E$17:E41)=D$10,F41,D$10-SUM(E$17:E41))</f>
        <v>89639.012408779687</v>
      </c>
      <c r="E42" s="482">
        <f t="shared" si="13"/>
        <v>6421.0526315789475</v>
      </c>
      <c r="F42" s="483">
        <f t="shared" si="14"/>
        <v>83217.95977720074</v>
      </c>
      <c r="G42" s="484">
        <f t="shared" si="15"/>
        <v>16251.444852015553</v>
      </c>
      <c r="H42" s="453">
        <f t="shared" si="16"/>
        <v>16251.444852015553</v>
      </c>
      <c r="I42" s="473">
        <f t="shared" si="0"/>
        <v>0</v>
      </c>
      <c r="J42" s="473"/>
      <c r="K42" s="485"/>
      <c r="L42" s="476">
        <f t="shared" si="2"/>
        <v>0</v>
      </c>
      <c r="M42" s="485"/>
      <c r="N42" s="476">
        <f t="shared" si="4"/>
        <v>0</v>
      </c>
      <c r="O42" s="476">
        <f t="shared" si="5"/>
        <v>0</v>
      </c>
      <c r="P42" s="241"/>
    </row>
    <row r="43" spans="2:16">
      <c r="B43" s="160" t="str">
        <f t="shared" si="7"/>
        <v/>
      </c>
      <c r="C43" s="470">
        <f>IF(D11="","-",+C42+1)</f>
        <v>2044</v>
      </c>
      <c r="D43" s="481">
        <f>IF(F42+SUM(E$17:E42)=D$10,F42,D$10-SUM(E$17:E42))</f>
        <v>83217.95977720074</v>
      </c>
      <c r="E43" s="482">
        <f t="shared" si="13"/>
        <v>6421.0526315789475</v>
      </c>
      <c r="F43" s="483">
        <f t="shared" si="14"/>
        <v>76796.907145621793</v>
      </c>
      <c r="G43" s="484">
        <f t="shared" si="15"/>
        <v>15521.113121241353</v>
      </c>
      <c r="H43" s="453">
        <f t="shared" si="16"/>
        <v>15521.113121241353</v>
      </c>
      <c r="I43" s="473">
        <f t="shared" si="0"/>
        <v>0</v>
      </c>
      <c r="J43" s="473"/>
      <c r="K43" s="485"/>
      <c r="L43" s="476">
        <f t="shared" si="2"/>
        <v>0</v>
      </c>
      <c r="M43" s="485"/>
      <c r="N43" s="476">
        <f t="shared" si="4"/>
        <v>0</v>
      </c>
      <c r="O43" s="476">
        <f t="shared" si="5"/>
        <v>0</v>
      </c>
      <c r="P43" s="241"/>
    </row>
    <row r="44" spans="2:16">
      <c r="B44" s="160" t="str">
        <f t="shared" si="7"/>
        <v/>
      </c>
      <c r="C44" s="470">
        <f>IF(D11="","-",+C43+1)</f>
        <v>2045</v>
      </c>
      <c r="D44" s="481">
        <f>IF(F43+SUM(E$17:E43)=D$10,F43,D$10-SUM(E$17:E43))</f>
        <v>76796.907145621793</v>
      </c>
      <c r="E44" s="482">
        <f t="shared" si="13"/>
        <v>6421.0526315789475</v>
      </c>
      <c r="F44" s="483">
        <f t="shared" si="14"/>
        <v>70375.854514042847</v>
      </c>
      <c r="G44" s="484">
        <f t="shared" si="15"/>
        <v>14790.781390467146</v>
      </c>
      <c r="H44" s="453">
        <f t="shared" si="16"/>
        <v>14790.781390467146</v>
      </c>
      <c r="I44" s="473">
        <f t="shared" si="0"/>
        <v>0</v>
      </c>
      <c r="J44" s="473"/>
      <c r="K44" s="485"/>
      <c r="L44" s="476">
        <f t="shared" si="2"/>
        <v>0</v>
      </c>
      <c r="M44" s="485"/>
      <c r="N44" s="476">
        <f t="shared" si="4"/>
        <v>0</v>
      </c>
      <c r="O44" s="476">
        <f t="shared" si="5"/>
        <v>0</v>
      </c>
      <c r="P44" s="241"/>
    </row>
    <row r="45" spans="2:16">
      <c r="B45" s="160" t="str">
        <f t="shared" si="7"/>
        <v/>
      </c>
      <c r="C45" s="470">
        <f>IF(D11="","-",+C44+1)</f>
        <v>2046</v>
      </c>
      <c r="D45" s="481">
        <f>IF(F44+SUM(E$17:E44)=D$10,F44,D$10-SUM(E$17:E44))</f>
        <v>70375.854514042847</v>
      </c>
      <c r="E45" s="482">
        <f t="shared" si="13"/>
        <v>6421.0526315789475</v>
      </c>
      <c r="F45" s="483">
        <f t="shared" si="14"/>
        <v>63954.8018824639</v>
      </c>
      <c r="G45" s="484">
        <f t="shared" si="15"/>
        <v>14060.449659692946</v>
      </c>
      <c r="H45" s="453">
        <f t="shared" si="16"/>
        <v>14060.449659692946</v>
      </c>
      <c r="I45" s="473">
        <f t="shared" si="0"/>
        <v>0</v>
      </c>
      <c r="J45" s="473"/>
      <c r="K45" s="485"/>
      <c r="L45" s="476">
        <f t="shared" si="2"/>
        <v>0</v>
      </c>
      <c r="M45" s="485"/>
      <c r="N45" s="476">
        <f t="shared" si="4"/>
        <v>0</v>
      </c>
      <c r="O45" s="476">
        <f t="shared" si="5"/>
        <v>0</v>
      </c>
      <c r="P45" s="241"/>
    </row>
    <row r="46" spans="2:16">
      <c r="B46" s="160" t="str">
        <f t="shared" si="7"/>
        <v/>
      </c>
      <c r="C46" s="470">
        <f>IF(D11="","-",+C45+1)</f>
        <v>2047</v>
      </c>
      <c r="D46" s="481">
        <f>IF(F45+SUM(E$17:E45)=D$10,F45,D$10-SUM(E$17:E45))</f>
        <v>63954.8018824639</v>
      </c>
      <c r="E46" s="482">
        <f t="shared" si="13"/>
        <v>6421.0526315789475</v>
      </c>
      <c r="F46" s="483">
        <f t="shared" si="14"/>
        <v>57533.749250884954</v>
      </c>
      <c r="G46" s="484">
        <f t="shared" si="15"/>
        <v>13330.117928918742</v>
      </c>
      <c r="H46" s="453">
        <f t="shared" si="16"/>
        <v>13330.117928918742</v>
      </c>
      <c r="I46" s="473">
        <f t="shared" si="0"/>
        <v>0</v>
      </c>
      <c r="J46" s="473"/>
      <c r="K46" s="485"/>
      <c r="L46" s="476">
        <f t="shared" si="2"/>
        <v>0</v>
      </c>
      <c r="M46" s="485"/>
      <c r="N46" s="476">
        <f t="shared" si="4"/>
        <v>0</v>
      </c>
      <c r="O46" s="476">
        <f t="shared" si="5"/>
        <v>0</v>
      </c>
      <c r="P46" s="241"/>
    </row>
    <row r="47" spans="2:16">
      <c r="B47" s="160" t="str">
        <f t="shared" si="7"/>
        <v/>
      </c>
      <c r="C47" s="470">
        <f>IF(D11="","-",+C46+1)</f>
        <v>2048</v>
      </c>
      <c r="D47" s="481">
        <f>IF(F46+SUM(E$17:E46)=D$10,F46,D$10-SUM(E$17:E46))</f>
        <v>57533.749250884954</v>
      </c>
      <c r="E47" s="482">
        <f t="shared" si="13"/>
        <v>6421.0526315789475</v>
      </c>
      <c r="F47" s="483">
        <f t="shared" si="14"/>
        <v>51112.696619306007</v>
      </c>
      <c r="G47" s="484">
        <f t="shared" si="15"/>
        <v>12599.786198144539</v>
      </c>
      <c r="H47" s="453">
        <f t="shared" si="16"/>
        <v>12599.786198144539</v>
      </c>
      <c r="I47" s="473">
        <f t="shared" si="0"/>
        <v>0</v>
      </c>
      <c r="J47" s="473"/>
      <c r="K47" s="485"/>
      <c r="L47" s="476">
        <f t="shared" si="2"/>
        <v>0</v>
      </c>
      <c r="M47" s="485"/>
      <c r="N47" s="476">
        <f t="shared" si="4"/>
        <v>0</v>
      </c>
      <c r="O47" s="476">
        <f t="shared" si="5"/>
        <v>0</v>
      </c>
      <c r="P47" s="241"/>
    </row>
    <row r="48" spans="2:16">
      <c r="B48" s="160" t="str">
        <f t="shared" si="7"/>
        <v/>
      </c>
      <c r="C48" s="470">
        <f>IF(D11="","-",+C47+1)</f>
        <v>2049</v>
      </c>
      <c r="D48" s="481">
        <f>IF(F47+SUM(E$17:E47)=D$10,F47,D$10-SUM(E$17:E47))</f>
        <v>51112.696619306007</v>
      </c>
      <c r="E48" s="482">
        <f t="shared" si="13"/>
        <v>6421.0526315789475</v>
      </c>
      <c r="F48" s="483">
        <f t="shared" si="14"/>
        <v>44691.64398772706</v>
      </c>
      <c r="G48" s="484">
        <f t="shared" si="15"/>
        <v>11869.454467370335</v>
      </c>
      <c r="H48" s="453">
        <f t="shared" si="16"/>
        <v>11869.454467370335</v>
      </c>
      <c r="I48" s="473">
        <f t="shared" si="0"/>
        <v>0</v>
      </c>
      <c r="J48" s="473"/>
      <c r="K48" s="485"/>
      <c r="L48" s="476">
        <f t="shared" si="2"/>
        <v>0</v>
      </c>
      <c r="M48" s="485"/>
      <c r="N48" s="476">
        <f t="shared" si="4"/>
        <v>0</v>
      </c>
      <c r="O48" s="476">
        <f t="shared" si="5"/>
        <v>0</v>
      </c>
      <c r="P48" s="241"/>
    </row>
    <row r="49" spans="2:16">
      <c r="B49" s="160" t="str">
        <f t="shared" si="7"/>
        <v/>
      </c>
      <c r="C49" s="470">
        <f>IF(D11="","-",+C48+1)</f>
        <v>2050</v>
      </c>
      <c r="D49" s="481">
        <f>IF(F48+SUM(E$17:E48)=D$10,F48,D$10-SUM(E$17:E48))</f>
        <v>44691.64398772706</v>
      </c>
      <c r="E49" s="482">
        <f t="shared" si="13"/>
        <v>6421.0526315789475</v>
      </c>
      <c r="F49" s="483">
        <f t="shared" si="14"/>
        <v>38270.591356148114</v>
      </c>
      <c r="G49" s="484">
        <f t="shared" si="15"/>
        <v>11139.122736596133</v>
      </c>
      <c r="H49" s="453">
        <f t="shared" si="16"/>
        <v>11139.122736596133</v>
      </c>
      <c r="I49" s="473">
        <f t="shared" si="0"/>
        <v>0</v>
      </c>
      <c r="J49" s="473"/>
      <c r="K49" s="485"/>
      <c r="L49" s="476">
        <f t="shared" si="2"/>
        <v>0</v>
      </c>
      <c r="M49" s="485"/>
      <c r="N49" s="476">
        <f t="shared" si="4"/>
        <v>0</v>
      </c>
      <c r="O49" s="476">
        <f t="shared" si="5"/>
        <v>0</v>
      </c>
      <c r="P49" s="241"/>
    </row>
    <row r="50" spans="2:16">
      <c r="B50" s="160" t="str">
        <f t="shared" si="7"/>
        <v/>
      </c>
      <c r="C50" s="470">
        <f>IF(D11="","-",+C49+1)</f>
        <v>2051</v>
      </c>
      <c r="D50" s="481">
        <f>IF(F49+SUM(E$17:E49)=D$10,F49,D$10-SUM(E$17:E49))</f>
        <v>38270.591356148114</v>
      </c>
      <c r="E50" s="482">
        <f t="shared" si="13"/>
        <v>6421.0526315789475</v>
      </c>
      <c r="F50" s="483">
        <f t="shared" si="14"/>
        <v>31849.538724569167</v>
      </c>
      <c r="G50" s="484">
        <f t="shared" si="15"/>
        <v>10408.79100582193</v>
      </c>
      <c r="H50" s="453">
        <f t="shared" si="16"/>
        <v>10408.79100582193</v>
      </c>
      <c r="I50" s="473">
        <f t="shared" si="0"/>
        <v>0</v>
      </c>
      <c r="J50" s="473"/>
      <c r="K50" s="485"/>
      <c r="L50" s="476">
        <f t="shared" si="2"/>
        <v>0</v>
      </c>
      <c r="M50" s="485"/>
      <c r="N50" s="476">
        <f t="shared" si="4"/>
        <v>0</v>
      </c>
      <c r="O50" s="476">
        <f t="shared" si="5"/>
        <v>0</v>
      </c>
      <c r="P50" s="241"/>
    </row>
    <row r="51" spans="2:16">
      <c r="B51" s="160" t="str">
        <f t="shared" si="7"/>
        <v/>
      </c>
      <c r="C51" s="470">
        <f>IF(D11="","-",+C50+1)</f>
        <v>2052</v>
      </c>
      <c r="D51" s="481">
        <f>IF(F50+SUM(E$17:E50)=D$10,F50,D$10-SUM(E$17:E50))</f>
        <v>31849.538724569167</v>
      </c>
      <c r="E51" s="482">
        <f t="shared" si="13"/>
        <v>6421.0526315789475</v>
      </c>
      <c r="F51" s="483">
        <f t="shared" si="14"/>
        <v>25428.486092990221</v>
      </c>
      <c r="G51" s="484">
        <f t="shared" si="15"/>
        <v>9678.4592750477277</v>
      </c>
      <c r="H51" s="453">
        <f t="shared" si="16"/>
        <v>9678.4592750477277</v>
      </c>
      <c r="I51" s="473">
        <f t="shared" si="0"/>
        <v>0</v>
      </c>
      <c r="J51" s="473"/>
      <c r="K51" s="485"/>
      <c r="L51" s="476">
        <f t="shared" si="2"/>
        <v>0</v>
      </c>
      <c r="M51" s="485"/>
      <c r="N51" s="476">
        <f t="shared" si="4"/>
        <v>0</v>
      </c>
      <c r="O51" s="476">
        <f t="shared" si="5"/>
        <v>0</v>
      </c>
      <c r="P51" s="241"/>
    </row>
    <row r="52" spans="2:16">
      <c r="B52" s="160" t="str">
        <f t="shared" si="7"/>
        <v/>
      </c>
      <c r="C52" s="470">
        <f>IF(D11="","-",+C51+1)</f>
        <v>2053</v>
      </c>
      <c r="D52" s="481">
        <f>IF(F51+SUM(E$17:E51)=D$10,F51,D$10-SUM(E$17:E51))</f>
        <v>25428.486092990221</v>
      </c>
      <c r="E52" s="482">
        <f t="shared" si="13"/>
        <v>6421.0526315789475</v>
      </c>
      <c r="F52" s="483">
        <f t="shared" si="14"/>
        <v>19007.433461411274</v>
      </c>
      <c r="G52" s="484">
        <f t="shared" si="15"/>
        <v>8948.1275442735241</v>
      </c>
      <c r="H52" s="453">
        <f t="shared" si="16"/>
        <v>8948.1275442735241</v>
      </c>
      <c r="I52" s="473">
        <f t="shared" si="0"/>
        <v>0</v>
      </c>
      <c r="J52" s="473"/>
      <c r="K52" s="485"/>
      <c r="L52" s="476">
        <f t="shared" si="2"/>
        <v>0</v>
      </c>
      <c r="M52" s="485"/>
      <c r="N52" s="476">
        <f t="shared" si="4"/>
        <v>0</v>
      </c>
      <c r="O52" s="476">
        <f t="shared" si="5"/>
        <v>0</v>
      </c>
      <c r="P52" s="241"/>
    </row>
    <row r="53" spans="2:16">
      <c r="B53" s="160" t="str">
        <f t="shared" si="7"/>
        <v/>
      </c>
      <c r="C53" s="470">
        <f>IF(D11="","-",+C52+1)</f>
        <v>2054</v>
      </c>
      <c r="D53" s="481">
        <f>IF(F52+SUM(E$17:E52)=D$10,F52,D$10-SUM(E$17:E52))</f>
        <v>19007.433461411274</v>
      </c>
      <c r="E53" s="482">
        <f t="shared" si="13"/>
        <v>6421.0526315789475</v>
      </c>
      <c r="F53" s="483">
        <f t="shared" si="14"/>
        <v>12586.380829832327</v>
      </c>
      <c r="G53" s="484">
        <f t="shared" si="15"/>
        <v>8217.7958134993205</v>
      </c>
      <c r="H53" s="453">
        <f t="shared" si="16"/>
        <v>8217.7958134993205</v>
      </c>
      <c r="I53" s="473">
        <f t="shared" si="0"/>
        <v>0</v>
      </c>
      <c r="J53" s="473"/>
      <c r="K53" s="485"/>
      <c r="L53" s="476">
        <f t="shared" si="2"/>
        <v>0</v>
      </c>
      <c r="M53" s="485"/>
      <c r="N53" s="476">
        <f t="shared" si="4"/>
        <v>0</v>
      </c>
      <c r="O53" s="476">
        <f t="shared" si="5"/>
        <v>0</v>
      </c>
      <c r="P53" s="241"/>
    </row>
    <row r="54" spans="2:16">
      <c r="B54" s="160" t="str">
        <f t="shared" si="7"/>
        <v/>
      </c>
      <c r="C54" s="470">
        <f>IF(D11="","-",+C53+1)</f>
        <v>2055</v>
      </c>
      <c r="D54" s="481">
        <f>IF(F53+SUM(E$17:E53)=D$10,F53,D$10-SUM(E$17:E53))</f>
        <v>12586.380829832327</v>
      </c>
      <c r="E54" s="482">
        <f t="shared" si="13"/>
        <v>6421.0526315789475</v>
      </c>
      <c r="F54" s="483">
        <f t="shared" si="14"/>
        <v>6165.3281982533799</v>
      </c>
      <c r="G54" s="484">
        <f t="shared" si="15"/>
        <v>7487.4640827251178</v>
      </c>
      <c r="H54" s="453">
        <f t="shared" si="16"/>
        <v>7487.4640827251178</v>
      </c>
      <c r="I54" s="473">
        <f t="shared" si="0"/>
        <v>0</v>
      </c>
      <c r="J54" s="473"/>
      <c r="K54" s="485"/>
      <c r="L54" s="476">
        <f t="shared" si="2"/>
        <v>0</v>
      </c>
      <c r="M54" s="485"/>
      <c r="N54" s="476">
        <f t="shared" si="4"/>
        <v>0</v>
      </c>
      <c r="O54" s="476">
        <f t="shared" si="5"/>
        <v>0</v>
      </c>
      <c r="P54" s="241"/>
    </row>
    <row r="55" spans="2:16">
      <c r="B55" s="160" t="str">
        <f t="shared" si="7"/>
        <v/>
      </c>
      <c r="C55" s="470">
        <f>IF(D11="","-",+C54+1)</f>
        <v>2056</v>
      </c>
      <c r="D55" s="481">
        <f>IF(F54+SUM(E$17:E54)=D$10,F54,D$10-SUM(E$17:E54))</f>
        <v>6165.3281982533799</v>
      </c>
      <c r="E55" s="482">
        <f t="shared" si="13"/>
        <v>6165.3281982533799</v>
      </c>
      <c r="F55" s="483">
        <f t="shared" si="14"/>
        <v>0</v>
      </c>
      <c r="G55" s="484">
        <f t="shared" si="15"/>
        <v>6515.9509911329142</v>
      </c>
      <c r="H55" s="453">
        <f t="shared" si="16"/>
        <v>6515.9509911329142</v>
      </c>
      <c r="I55" s="473">
        <f t="shared" si="0"/>
        <v>0</v>
      </c>
      <c r="J55" s="473"/>
      <c r="K55" s="485"/>
      <c r="L55" s="476">
        <f t="shared" si="2"/>
        <v>0</v>
      </c>
      <c r="M55" s="485"/>
      <c r="N55" s="476">
        <f t="shared" si="4"/>
        <v>0</v>
      </c>
      <c r="O55" s="476">
        <f t="shared" si="5"/>
        <v>0</v>
      </c>
      <c r="P55" s="241"/>
    </row>
    <row r="56" spans="2:16">
      <c r="B56" s="160" t="str">
        <f t="shared" si="7"/>
        <v/>
      </c>
      <c r="C56" s="470">
        <f>IF(D11="","-",+C55+1)</f>
        <v>2057</v>
      </c>
      <c r="D56" s="481">
        <f>IF(F55+SUM(E$17:E55)=D$10,F55,D$10-SUM(E$17:E55))</f>
        <v>0</v>
      </c>
      <c r="E56" s="482">
        <f t="shared" si="13"/>
        <v>0</v>
      </c>
      <c r="F56" s="483">
        <f t="shared" si="14"/>
        <v>0</v>
      </c>
      <c r="G56" s="484">
        <f t="shared" si="15"/>
        <v>0</v>
      </c>
      <c r="H56" s="453">
        <f t="shared" si="16"/>
        <v>0</v>
      </c>
      <c r="I56" s="473">
        <f t="shared" si="0"/>
        <v>0</v>
      </c>
      <c r="J56" s="473"/>
      <c r="K56" s="485"/>
      <c r="L56" s="476">
        <f t="shared" si="2"/>
        <v>0</v>
      </c>
      <c r="M56" s="485"/>
      <c r="N56" s="476">
        <f t="shared" si="4"/>
        <v>0</v>
      </c>
      <c r="O56" s="476">
        <f t="shared" si="5"/>
        <v>0</v>
      </c>
      <c r="P56" s="241"/>
    </row>
    <row r="57" spans="2:16">
      <c r="B57" s="160" t="str">
        <f t="shared" si="7"/>
        <v/>
      </c>
      <c r="C57" s="470">
        <f>IF(D11="","-",+C56+1)</f>
        <v>2058</v>
      </c>
      <c r="D57" s="481">
        <f>IF(F56+SUM(E$17:E56)=D$10,F56,D$10-SUM(E$17:E56))</f>
        <v>0</v>
      </c>
      <c r="E57" s="482">
        <f t="shared" si="13"/>
        <v>0</v>
      </c>
      <c r="F57" s="483">
        <f t="shared" si="14"/>
        <v>0</v>
      </c>
      <c r="G57" s="484">
        <f t="shared" si="15"/>
        <v>0</v>
      </c>
      <c r="H57" s="453">
        <f t="shared" si="16"/>
        <v>0</v>
      </c>
      <c r="I57" s="473">
        <f t="shared" si="0"/>
        <v>0</v>
      </c>
      <c r="J57" s="473"/>
      <c r="K57" s="485"/>
      <c r="L57" s="476">
        <f t="shared" si="2"/>
        <v>0</v>
      </c>
      <c r="M57" s="485"/>
      <c r="N57" s="476">
        <f t="shared" si="4"/>
        <v>0</v>
      </c>
      <c r="O57" s="476">
        <f t="shared" si="5"/>
        <v>0</v>
      </c>
      <c r="P57" s="241"/>
    </row>
    <row r="58" spans="2:16">
      <c r="B58" s="160" t="str">
        <f t="shared" si="7"/>
        <v/>
      </c>
      <c r="C58" s="470">
        <f>IF(D11="","-",+C57+1)</f>
        <v>2059</v>
      </c>
      <c r="D58" s="481">
        <f>IF(F57+SUM(E$17:E57)=D$10,F57,D$10-SUM(E$17:E57))</f>
        <v>0</v>
      </c>
      <c r="E58" s="482">
        <f t="shared" si="13"/>
        <v>0</v>
      </c>
      <c r="F58" s="483">
        <f t="shared" si="14"/>
        <v>0</v>
      </c>
      <c r="G58" s="484">
        <f t="shared" si="15"/>
        <v>0</v>
      </c>
      <c r="H58" s="453">
        <f t="shared" si="16"/>
        <v>0</v>
      </c>
      <c r="I58" s="473">
        <f t="shared" si="0"/>
        <v>0</v>
      </c>
      <c r="J58" s="473"/>
      <c r="K58" s="485"/>
      <c r="L58" s="476">
        <f t="shared" si="2"/>
        <v>0</v>
      </c>
      <c r="M58" s="485"/>
      <c r="N58" s="476">
        <f t="shared" si="4"/>
        <v>0</v>
      </c>
      <c r="O58" s="476">
        <f t="shared" si="5"/>
        <v>0</v>
      </c>
      <c r="P58" s="241"/>
    </row>
    <row r="59" spans="2:16">
      <c r="B59" s="160" t="str">
        <f t="shared" si="7"/>
        <v/>
      </c>
      <c r="C59" s="470">
        <f>IF(D11="","-",+C58+1)</f>
        <v>2060</v>
      </c>
      <c r="D59" s="481">
        <f>IF(F58+SUM(E$17:E58)=D$10,F58,D$10-SUM(E$17:E58))</f>
        <v>0</v>
      </c>
      <c r="E59" s="482">
        <f t="shared" si="13"/>
        <v>0</v>
      </c>
      <c r="F59" s="483">
        <f t="shared" si="14"/>
        <v>0</v>
      </c>
      <c r="G59" s="484">
        <f t="shared" si="15"/>
        <v>0</v>
      </c>
      <c r="H59" s="453">
        <f t="shared" si="16"/>
        <v>0</v>
      </c>
      <c r="I59" s="473">
        <f t="shared" si="0"/>
        <v>0</v>
      </c>
      <c r="J59" s="473"/>
      <c r="K59" s="485"/>
      <c r="L59" s="476">
        <f t="shared" si="2"/>
        <v>0</v>
      </c>
      <c r="M59" s="485"/>
      <c r="N59" s="476">
        <f t="shared" si="4"/>
        <v>0</v>
      </c>
      <c r="O59" s="476">
        <f t="shared" si="5"/>
        <v>0</v>
      </c>
      <c r="P59" s="241"/>
    </row>
    <row r="60" spans="2:16">
      <c r="B60" s="160" t="str">
        <f t="shared" si="7"/>
        <v/>
      </c>
      <c r="C60" s="470">
        <f>IF(D11="","-",+C59+1)</f>
        <v>2061</v>
      </c>
      <c r="D60" s="481">
        <f>IF(F59+SUM(E$17:E59)=D$10,F59,D$10-SUM(E$17:E59))</f>
        <v>0</v>
      </c>
      <c r="E60" s="482">
        <f t="shared" si="13"/>
        <v>0</v>
      </c>
      <c r="F60" s="483">
        <f t="shared" si="14"/>
        <v>0</v>
      </c>
      <c r="G60" s="484">
        <f t="shared" si="15"/>
        <v>0</v>
      </c>
      <c r="H60" s="453">
        <f t="shared" si="16"/>
        <v>0</v>
      </c>
      <c r="I60" s="473">
        <f t="shared" si="0"/>
        <v>0</v>
      </c>
      <c r="J60" s="473"/>
      <c r="K60" s="485"/>
      <c r="L60" s="476">
        <f t="shared" si="2"/>
        <v>0</v>
      </c>
      <c r="M60" s="485"/>
      <c r="N60" s="476">
        <f t="shared" si="4"/>
        <v>0</v>
      </c>
      <c r="O60" s="476">
        <f t="shared" si="5"/>
        <v>0</v>
      </c>
      <c r="P60" s="241"/>
    </row>
    <row r="61" spans="2:16">
      <c r="B61" s="160" t="str">
        <f t="shared" si="7"/>
        <v/>
      </c>
      <c r="C61" s="470">
        <f>IF(D11="","-",+C60+1)</f>
        <v>2062</v>
      </c>
      <c r="D61" s="481">
        <f>IF(F60+SUM(E$17:E60)=D$10,F60,D$10-SUM(E$17:E60))</f>
        <v>0</v>
      </c>
      <c r="E61" s="482">
        <f t="shared" si="13"/>
        <v>0</v>
      </c>
      <c r="F61" s="483">
        <f t="shared" si="14"/>
        <v>0</v>
      </c>
      <c r="G61" s="484">
        <f t="shared" si="15"/>
        <v>0</v>
      </c>
      <c r="H61" s="453">
        <f t="shared" si="16"/>
        <v>0</v>
      </c>
      <c r="I61" s="473">
        <f t="shared" si="0"/>
        <v>0</v>
      </c>
      <c r="J61" s="473"/>
      <c r="K61" s="485"/>
      <c r="L61" s="476">
        <f t="shared" si="2"/>
        <v>0</v>
      </c>
      <c r="M61" s="485"/>
      <c r="N61" s="476">
        <f t="shared" si="4"/>
        <v>0</v>
      </c>
      <c r="O61" s="476">
        <f t="shared" si="5"/>
        <v>0</v>
      </c>
      <c r="P61" s="241"/>
    </row>
    <row r="62" spans="2:16">
      <c r="B62" s="160" t="str">
        <f t="shared" si="7"/>
        <v/>
      </c>
      <c r="C62" s="470">
        <f>IF(D11="","-",+C61+1)</f>
        <v>2063</v>
      </c>
      <c r="D62" s="481">
        <f>IF(F61+SUM(E$17:E61)=D$10,F61,D$10-SUM(E$17:E61))</f>
        <v>0</v>
      </c>
      <c r="E62" s="482">
        <f t="shared" si="13"/>
        <v>0</v>
      </c>
      <c r="F62" s="483">
        <f t="shared" si="14"/>
        <v>0</v>
      </c>
      <c r="G62" s="484">
        <f t="shared" si="15"/>
        <v>0</v>
      </c>
      <c r="H62" s="453">
        <f t="shared" si="16"/>
        <v>0</v>
      </c>
      <c r="I62" s="473">
        <f t="shared" si="0"/>
        <v>0</v>
      </c>
      <c r="J62" s="473"/>
      <c r="K62" s="485"/>
      <c r="L62" s="476">
        <f t="shared" si="2"/>
        <v>0</v>
      </c>
      <c r="M62" s="485"/>
      <c r="N62" s="476">
        <f t="shared" si="4"/>
        <v>0</v>
      </c>
      <c r="O62" s="476">
        <f t="shared" si="5"/>
        <v>0</v>
      </c>
      <c r="P62" s="241"/>
    </row>
    <row r="63" spans="2:16">
      <c r="B63" s="160" t="str">
        <f t="shared" si="7"/>
        <v/>
      </c>
      <c r="C63" s="470">
        <f>IF(D11="","-",+C62+1)</f>
        <v>2064</v>
      </c>
      <c r="D63" s="481">
        <f>IF(F62+SUM(E$17:E62)=D$10,F62,D$10-SUM(E$17:E62))</f>
        <v>0</v>
      </c>
      <c r="E63" s="482">
        <f t="shared" si="13"/>
        <v>0</v>
      </c>
      <c r="F63" s="483">
        <f t="shared" si="14"/>
        <v>0</v>
      </c>
      <c r="G63" s="484">
        <f t="shared" si="15"/>
        <v>0</v>
      </c>
      <c r="H63" s="453">
        <f t="shared" si="16"/>
        <v>0</v>
      </c>
      <c r="I63" s="473">
        <f t="shared" si="0"/>
        <v>0</v>
      </c>
      <c r="J63" s="473"/>
      <c r="K63" s="485"/>
      <c r="L63" s="476">
        <f t="shared" si="2"/>
        <v>0</v>
      </c>
      <c r="M63" s="485"/>
      <c r="N63" s="476">
        <f t="shared" si="4"/>
        <v>0</v>
      </c>
      <c r="O63" s="476">
        <f t="shared" si="5"/>
        <v>0</v>
      </c>
      <c r="P63" s="241"/>
    </row>
    <row r="64" spans="2:16">
      <c r="B64" s="160" t="str">
        <f t="shared" si="7"/>
        <v/>
      </c>
      <c r="C64" s="470">
        <f>IF(D11="","-",+C63+1)</f>
        <v>2065</v>
      </c>
      <c r="D64" s="481">
        <f>IF(F63+SUM(E$17:E63)=D$10,F63,D$10-SUM(E$17:E63))</f>
        <v>0</v>
      </c>
      <c r="E64" s="482">
        <f t="shared" si="13"/>
        <v>0</v>
      </c>
      <c r="F64" s="483">
        <f t="shared" si="14"/>
        <v>0</v>
      </c>
      <c r="G64" s="484">
        <f t="shared" si="15"/>
        <v>0</v>
      </c>
      <c r="H64" s="453">
        <f t="shared" si="16"/>
        <v>0</v>
      </c>
      <c r="I64" s="473">
        <f t="shared" si="0"/>
        <v>0</v>
      </c>
      <c r="J64" s="473"/>
      <c r="K64" s="485"/>
      <c r="L64" s="476">
        <f t="shared" si="2"/>
        <v>0</v>
      </c>
      <c r="M64" s="485"/>
      <c r="N64" s="476">
        <f t="shared" si="4"/>
        <v>0</v>
      </c>
      <c r="O64" s="476">
        <f t="shared" si="5"/>
        <v>0</v>
      </c>
      <c r="P64" s="241"/>
    </row>
    <row r="65" spans="2:16">
      <c r="B65" s="160" t="str">
        <f t="shared" si="7"/>
        <v/>
      </c>
      <c r="C65" s="470">
        <f>IF(D11="","-",+C64+1)</f>
        <v>2066</v>
      </c>
      <c r="D65" s="481">
        <f>IF(F64+SUM(E$17:E64)=D$10,F64,D$10-SUM(E$17:E64))</f>
        <v>0</v>
      </c>
      <c r="E65" s="482">
        <f t="shared" si="13"/>
        <v>0</v>
      </c>
      <c r="F65" s="483">
        <f t="shared" si="14"/>
        <v>0</v>
      </c>
      <c r="G65" s="484">
        <f t="shared" si="15"/>
        <v>0</v>
      </c>
      <c r="H65" s="453">
        <f t="shared" si="16"/>
        <v>0</v>
      </c>
      <c r="I65" s="473">
        <f t="shared" si="0"/>
        <v>0</v>
      </c>
      <c r="J65" s="473"/>
      <c r="K65" s="485"/>
      <c r="L65" s="476">
        <f t="shared" si="2"/>
        <v>0</v>
      </c>
      <c r="M65" s="485"/>
      <c r="N65" s="476">
        <f t="shared" si="4"/>
        <v>0</v>
      </c>
      <c r="O65" s="476">
        <f t="shared" si="5"/>
        <v>0</v>
      </c>
      <c r="P65" s="241"/>
    </row>
    <row r="66" spans="2:16">
      <c r="B66" s="160" t="str">
        <f t="shared" si="7"/>
        <v/>
      </c>
      <c r="C66" s="470">
        <f>IF(D11="","-",+C65+1)</f>
        <v>2067</v>
      </c>
      <c r="D66" s="481">
        <f>IF(F65+SUM(E$17:E65)=D$10,F65,D$10-SUM(E$17:E65))</f>
        <v>0</v>
      </c>
      <c r="E66" s="482">
        <f t="shared" si="13"/>
        <v>0</v>
      </c>
      <c r="F66" s="483">
        <f t="shared" si="14"/>
        <v>0</v>
      </c>
      <c r="G66" s="484">
        <f t="shared" si="15"/>
        <v>0</v>
      </c>
      <c r="H66" s="453">
        <f t="shared" si="16"/>
        <v>0</v>
      </c>
      <c r="I66" s="473">
        <f t="shared" si="0"/>
        <v>0</v>
      </c>
      <c r="J66" s="473"/>
      <c r="K66" s="485"/>
      <c r="L66" s="476">
        <f t="shared" si="2"/>
        <v>0</v>
      </c>
      <c r="M66" s="485"/>
      <c r="N66" s="476">
        <f t="shared" si="4"/>
        <v>0</v>
      </c>
      <c r="O66" s="476">
        <f t="shared" si="5"/>
        <v>0</v>
      </c>
      <c r="P66" s="241"/>
    </row>
    <row r="67" spans="2:16">
      <c r="B67" s="160" t="str">
        <f t="shared" si="7"/>
        <v/>
      </c>
      <c r="C67" s="470">
        <f>IF(D11="","-",+C66+1)</f>
        <v>2068</v>
      </c>
      <c r="D67" s="481">
        <f>IF(F66+SUM(E$17:E66)=D$10,F66,D$10-SUM(E$17:E66))</f>
        <v>0</v>
      </c>
      <c r="E67" s="482">
        <f t="shared" si="13"/>
        <v>0</v>
      </c>
      <c r="F67" s="483">
        <f t="shared" si="14"/>
        <v>0</v>
      </c>
      <c r="G67" s="484">
        <f t="shared" si="15"/>
        <v>0</v>
      </c>
      <c r="H67" s="453">
        <f t="shared" si="16"/>
        <v>0</v>
      </c>
      <c r="I67" s="473">
        <f t="shared" si="0"/>
        <v>0</v>
      </c>
      <c r="J67" s="473"/>
      <c r="K67" s="485"/>
      <c r="L67" s="476">
        <f t="shared" si="2"/>
        <v>0</v>
      </c>
      <c r="M67" s="485"/>
      <c r="N67" s="476">
        <f t="shared" si="4"/>
        <v>0</v>
      </c>
      <c r="O67" s="476">
        <f t="shared" si="5"/>
        <v>0</v>
      </c>
      <c r="P67" s="241"/>
    </row>
    <row r="68" spans="2:16">
      <c r="B68" s="160" t="str">
        <f t="shared" si="7"/>
        <v/>
      </c>
      <c r="C68" s="470">
        <f>IF(D11="","-",+C67+1)</f>
        <v>2069</v>
      </c>
      <c r="D68" s="481">
        <f>IF(F67+SUM(E$17:E67)=D$10,F67,D$10-SUM(E$17:E67))</f>
        <v>0</v>
      </c>
      <c r="E68" s="482">
        <f t="shared" si="13"/>
        <v>0</v>
      </c>
      <c r="F68" s="483">
        <f t="shared" si="14"/>
        <v>0</v>
      </c>
      <c r="G68" s="484">
        <f t="shared" si="15"/>
        <v>0</v>
      </c>
      <c r="H68" s="453">
        <f t="shared" si="16"/>
        <v>0</v>
      </c>
      <c r="I68" s="473">
        <f t="shared" si="0"/>
        <v>0</v>
      </c>
      <c r="J68" s="473"/>
      <c r="K68" s="485"/>
      <c r="L68" s="476">
        <f t="shared" si="2"/>
        <v>0</v>
      </c>
      <c r="M68" s="485"/>
      <c r="N68" s="476">
        <f t="shared" si="4"/>
        <v>0</v>
      </c>
      <c r="O68" s="476">
        <f t="shared" si="5"/>
        <v>0</v>
      </c>
      <c r="P68" s="241"/>
    </row>
    <row r="69" spans="2:16">
      <c r="B69" s="160" t="str">
        <f t="shared" si="7"/>
        <v/>
      </c>
      <c r="C69" s="470">
        <f>IF(D11="","-",+C68+1)</f>
        <v>2070</v>
      </c>
      <c r="D69" s="481">
        <f>IF(F68+SUM(E$17:E68)=D$10,F68,D$10-SUM(E$17:E68))</f>
        <v>0</v>
      </c>
      <c r="E69" s="482">
        <f t="shared" si="13"/>
        <v>0</v>
      </c>
      <c r="F69" s="483">
        <f t="shared" si="14"/>
        <v>0</v>
      </c>
      <c r="G69" s="484">
        <f t="shared" si="15"/>
        <v>0</v>
      </c>
      <c r="H69" s="453">
        <f t="shared" si="16"/>
        <v>0</v>
      </c>
      <c r="I69" s="473">
        <f t="shared" si="0"/>
        <v>0</v>
      </c>
      <c r="J69" s="473"/>
      <c r="K69" s="485"/>
      <c r="L69" s="476">
        <f t="shared" si="2"/>
        <v>0</v>
      </c>
      <c r="M69" s="485"/>
      <c r="N69" s="476">
        <f t="shared" si="4"/>
        <v>0</v>
      </c>
      <c r="O69" s="476">
        <f t="shared" si="5"/>
        <v>0</v>
      </c>
      <c r="P69" s="241"/>
    </row>
    <row r="70" spans="2:16">
      <c r="B70" s="160" t="str">
        <f t="shared" si="7"/>
        <v/>
      </c>
      <c r="C70" s="470">
        <f>IF(D11="","-",+C69+1)</f>
        <v>2071</v>
      </c>
      <c r="D70" s="481">
        <f>IF(F69+SUM(E$17:E69)=D$10,F69,D$10-SUM(E$17:E69))</f>
        <v>0</v>
      </c>
      <c r="E70" s="482">
        <f t="shared" si="13"/>
        <v>0</v>
      </c>
      <c r="F70" s="483">
        <f t="shared" si="14"/>
        <v>0</v>
      </c>
      <c r="G70" s="484">
        <f t="shared" si="15"/>
        <v>0</v>
      </c>
      <c r="H70" s="453">
        <f t="shared" si="16"/>
        <v>0</v>
      </c>
      <c r="I70" s="473">
        <f t="shared" si="0"/>
        <v>0</v>
      </c>
      <c r="J70" s="473"/>
      <c r="K70" s="485"/>
      <c r="L70" s="476">
        <f t="shared" si="2"/>
        <v>0</v>
      </c>
      <c r="M70" s="485"/>
      <c r="N70" s="476">
        <f t="shared" si="4"/>
        <v>0</v>
      </c>
      <c r="O70" s="476">
        <f t="shared" si="5"/>
        <v>0</v>
      </c>
      <c r="P70" s="241"/>
    </row>
    <row r="71" spans="2:16">
      <c r="B71" s="160" t="str">
        <f t="shared" si="7"/>
        <v/>
      </c>
      <c r="C71" s="470">
        <f>IF(D11="","-",+C70+1)</f>
        <v>2072</v>
      </c>
      <c r="D71" s="481">
        <f>IF(F70+SUM(E$17:E70)=D$10,F70,D$10-SUM(E$17:E70))</f>
        <v>0</v>
      </c>
      <c r="E71" s="482">
        <f t="shared" si="13"/>
        <v>0</v>
      </c>
      <c r="F71" s="483">
        <f t="shared" si="14"/>
        <v>0</v>
      </c>
      <c r="G71" s="484">
        <f t="shared" si="15"/>
        <v>0</v>
      </c>
      <c r="H71" s="453">
        <f t="shared" si="16"/>
        <v>0</v>
      </c>
      <c r="I71" s="473">
        <f t="shared" si="0"/>
        <v>0</v>
      </c>
      <c r="J71" s="473"/>
      <c r="K71" s="485"/>
      <c r="L71" s="476">
        <f t="shared" si="2"/>
        <v>0</v>
      </c>
      <c r="M71" s="485"/>
      <c r="N71" s="476">
        <f t="shared" si="4"/>
        <v>0</v>
      </c>
      <c r="O71" s="476">
        <f t="shared" si="5"/>
        <v>0</v>
      </c>
      <c r="P71" s="241"/>
    </row>
    <row r="72" spans="2:16" ht="13.5" thickBot="1">
      <c r="B72" s="160" t="str">
        <f t="shared" si="7"/>
        <v/>
      </c>
      <c r="C72" s="487">
        <f>IF(D11="","-",+C71+1)</f>
        <v>2073</v>
      </c>
      <c r="D72" s="610">
        <f>IF(F71+SUM(E$17:E71)=D$10,F71,D$10-SUM(E$17:E71))</f>
        <v>0</v>
      </c>
      <c r="E72" s="489">
        <f t="shared" si="13"/>
        <v>0</v>
      </c>
      <c r="F72" s="488">
        <f t="shared" si="14"/>
        <v>0</v>
      </c>
      <c r="G72" s="542">
        <f t="shared" si="15"/>
        <v>0</v>
      </c>
      <c r="H72" s="433">
        <f t="shared" si="16"/>
        <v>0</v>
      </c>
      <c r="I72" s="491">
        <f t="shared" si="0"/>
        <v>0</v>
      </c>
      <c r="J72" s="473"/>
      <c r="K72" s="492"/>
      <c r="L72" s="493">
        <f t="shared" si="2"/>
        <v>0</v>
      </c>
      <c r="M72" s="492"/>
      <c r="N72" s="493">
        <f t="shared" si="4"/>
        <v>0</v>
      </c>
      <c r="O72" s="493">
        <f t="shared" si="5"/>
        <v>0</v>
      </c>
      <c r="P72" s="241"/>
    </row>
    <row r="73" spans="2:16">
      <c r="C73" s="345" t="s">
        <v>77</v>
      </c>
      <c r="D73" s="346"/>
      <c r="E73" s="346">
        <f>SUM(E17:E72)</f>
        <v>244000.00000000006</v>
      </c>
      <c r="F73" s="346"/>
      <c r="G73" s="346">
        <f>SUM(G17:G72)</f>
        <v>780795.81104635296</v>
      </c>
      <c r="H73" s="346">
        <f>SUM(H17:H72)</f>
        <v>780795.81104635296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22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29614.266782481478</v>
      </c>
      <c r="N87" s="506">
        <f>IF(J92&lt;D11,0,VLOOKUP(J92,C17:O72,11))</f>
        <v>29614.266782481478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30546.757470312874</v>
      </c>
      <c r="N88" s="510">
        <f>IF(J92&lt;D11,0,VLOOKUP(J92,C99:P154,7))</f>
        <v>30546.757470312874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Northeastern Station 138 kV Terminal Upgrades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932.49068783139592</v>
      </c>
      <c r="N89" s="515">
        <f>+N88-N87</f>
        <v>932.49068783139592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TP2015169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524">
        <v>244000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v>2018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v>6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5951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2018</v>
      </c>
      <c r="D99" s="582">
        <v>0</v>
      </c>
      <c r="E99" s="606">
        <v>2837</v>
      </c>
      <c r="F99" s="582">
        <v>241163</v>
      </c>
      <c r="G99" s="606">
        <v>120581.5</v>
      </c>
      <c r="H99" s="585">
        <v>15225.00875134001</v>
      </c>
      <c r="I99" s="605">
        <v>15225.00875134001</v>
      </c>
      <c r="J99" s="476">
        <f t="shared" ref="J99:J130" si="17">+I99-H99</f>
        <v>0</v>
      </c>
      <c r="K99" s="476"/>
      <c r="L99" s="475">
        <f>+H99</f>
        <v>15225.00875134001</v>
      </c>
      <c r="M99" s="475">
        <f t="shared" ref="M99" si="18">IF(L99&lt;&gt;0,+H99-L99,0)</f>
        <v>0</v>
      </c>
      <c r="N99" s="475">
        <f>+I99</f>
        <v>15225.00875134001</v>
      </c>
      <c r="O99" s="475">
        <f t="shared" ref="O99" si="19">IF(N99&lt;&gt;0,+I99-N99,0)</f>
        <v>0</v>
      </c>
      <c r="P99" s="475">
        <f t="shared" ref="P99" si="20">+O99-M99</f>
        <v>0</v>
      </c>
    </row>
    <row r="100" spans="1:16">
      <c r="B100" s="160" t="str">
        <f>IF(D100=F99,"","IU")</f>
        <v/>
      </c>
      <c r="C100" s="470">
        <f>IF(D93="","-",+C99+1)</f>
        <v>2019</v>
      </c>
      <c r="D100" s="576">
        <v>241163</v>
      </c>
      <c r="E100" s="577">
        <v>5951</v>
      </c>
      <c r="F100" s="576">
        <v>235212</v>
      </c>
      <c r="G100" s="577">
        <v>238187.5</v>
      </c>
      <c r="H100" s="600">
        <v>30511.472087080136</v>
      </c>
      <c r="I100" s="576">
        <v>30511.472087080136</v>
      </c>
      <c r="J100" s="476">
        <f t="shared" si="17"/>
        <v>0</v>
      </c>
      <c r="K100" s="476"/>
      <c r="L100" s="474">
        <f>H100</f>
        <v>30511.472087080136</v>
      </c>
      <c r="M100" s="347">
        <f>IF(L100&lt;&gt;0,+H100-L100,0)</f>
        <v>0</v>
      </c>
      <c r="N100" s="474">
        <f>I100</f>
        <v>30511.472087080136</v>
      </c>
      <c r="O100" s="476">
        <f t="shared" ref="O100:O130" si="21">IF(N100&lt;&gt;0,+I100-N100,0)</f>
        <v>0</v>
      </c>
      <c r="P100" s="476">
        <f t="shared" ref="P100:P130" si="22">+O100-M100</f>
        <v>0</v>
      </c>
    </row>
    <row r="101" spans="1:16">
      <c r="B101" s="160" t="str">
        <f t="shared" ref="B101:B154" si="23">IF(D101=F100,"","IU")</f>
        <v/>
      </c>
      <c r="C101" s="470">
        <f>IF(D93="","-",+C100+1)</f>
        <v>2020</v>
      </c>
      <c r="D101" s="576">
        <v>235212</v>
      </c>
      <c r="E101" s="577">
        <v>5674</v>
      </c>
      <c r="F101" s="576">
        <v>229538</v>
      </c>
      <c r="G101" s="577">
        <v>232375</v>
      </c>
      <c r="H101" s="600">
        <v>32466.198637614907</v>
      </c>
      <c r="I101" s="576">
        <v>32466.198637614907</v>
      </c>
      <c r="J101" s="476">
        <f t="shared" si="17"/>
        <v>0</v>
      </c>
      <c r="K101" s="476"/>
      <c r="L101" s="474">
        <f>H101</f>
        <v>32466.198637614907</v>
      </c>
      <c r="M101" s="347">
        <f>IF(L101&lt;&gt;0,+H101-L101,0)</f>
        <v>0</v>
      </c>
      <c r="N101" s="474">
        <f>I101</f>
        <v>32466.198637614907</v>
      </c>
      <c r="O101" s="476">
        <f t="shared" si="21"/>
        <v>0</v>
      </c>
      <c r="P101" s="476">
        <f t="shared" si="22"/>
        <v>0</v>
      </c>
    </row>
    <row r="102" spans="1:16">
      <c r="B102" s="160" t="str">
        <f t="shared" si="23"/>
        <v/>
      </c>
      <c r="C102" s="470">
        <f>IF(D93="","-",+C101+1)</f>
        <v>2021</v>
      </c>
      <c r="D102" s="576">
        <v>229538</v>
      </c>
      <c r="E102" s="577">
        <v>5951</v>
      </c>
      <c r="F102" s="576">
        <v>223587</v>
      </c>
      <c r="G102" s="577">
        <v>226562.5</v>
      </c>
      <c r="H102" s="600">
        <v>31732.179671191017</v>
      </c>
      <c r="I102" s="576">
        <v>31732.179671191017</v>
      </c>
      <c r="J102" s="476">
        <f t="shared" si="17"/>
        <v>0</v>
      </c>
      <c r="K102" s="476"/>
      <c r="L102" s="474">
        <f>H102</f>
        <v>31732.179671191017</v>
      </c>
      <c r="M102" s="347">
        <f>IF(L102&lt;&gt;0,+H102-L102,0)</f>
        <v>0</v>
      </c>
      <c r="N102" s="474">
        <f>I102</f>
        <v>31732.179671191017</v>
      </c>
      <c r="O102" s="476">
        <f t="shared" ref="O102" si="24">IF(N102&lt;&gt;0,+I102-N102,0)</f>
        <v>0</v>
      </c>
      <c r="P102" s="476">
        <f t="shared" ref="P102" si="25">+O102-M102</f>
        <v>0</v>
      </c>
    </row>
    <row r="103" spans="1:16">
      <c r="B103" s="160" t="str">
        <f t="shared" si="23"/>
        <v/>
      </c>
      <c r="C103" s="631">
        <f>IF(D93="","-",+C102+1)</f>
        <v>2022</v>
      </c>
      <c r="D103" s="345">
        <v>223587</v>
      </c>
      <c r="E103" s="482">
        <v>6256</v>
      </c>
      <c r="F103" s="483">
        <v>217331</v>
      </c>
      <c r="G103" s="483">
        <v>220459</v>
      </c>
      <c r="H103" s="611">
        <v>30546.757470312874</v>
      </c>
      <c r="I103" s="612">
        <v>30546.757470312874</v>
      </c>
      <c r="J103" s="476">
        <f t="shared" si="17"/>
        <v>0</v>
      </c>
      <c r="K103" s="476"/>
      <c r="L103" s="485"/>
      <c r="M103" s="476">
        <f t="shared" ref="M103:M130" si="26">IF(L103&lt;&gt;0,+H103-L103,0)</f>
        <v>0</v>
      </c>
      <c r="N103" s="485"/>
      <c r="O103" s="476">
        <f t="shared" si="21"/>
        <v>0</v>
      </c>
      <c r="P103" s="476">
        <f t="shared" si="22"/>
        <v>0</v>
      </c>
    </row>
    <row r="104" spans="1:16">
      <c r="B104" s="160" t="str">
        <f t="shared" si="23"/>
        <v/>
      </c>
      <c r="C104" s="470">
        <f>IF(D93="","-",+C103+1)</f>
        <v>2023</v>
      </c>
      <c r="D104" s="345">
        <f>IF(F103+SUM(E$99:E103)=D$92,F103,D$92-SUM(E$99:E103))</f>
        <v>217331</v>
      </c>
      <c r="E104" s="482">
        <f t="shared" ref="E104:E154" si="27">IF(+J$96&lt;F103,J$96,D104)</f>
        <v>5951</v>
      </c>
      <c r="F104" s="483">
        <f t="shared" ref="F104:F154" si="28">+D104-E104</f>
        <v>211380</v>
      </c>
      <c r="G104" s="483">
        <f t="shared" ref="G104:G154" si="29">+(F104+D104)/2</f>
        <v>214355.5</v>
      </c>
      <c r="H104" s="611">
        <f t="shared" ref="H104:H154" si="30">+J$94*G104+E104</f>
        <v>30343.11104665594</v>
      </c>
      <c r="I104" s="612">
        <f t="shared" ref="I104:I154" si="31">+J$95*G104+E104</f>
        <v>30343.11104665594</v>
      </c>
      <c r="J104" s="476">
        <f t="shared" si="17"/>
        <v>0</v>
      </c>
      <c r="K104" s="476"/>
      <c r="L104" s="485"/>
      <c r="M104" s="476">
        <f t="shared" si="26"/>
        <v>0</v>
      </c>
      <c r="N104" s="485"/>
      <c r="O104" s="476">
        <f t="shared" si="21"/>
        <v>0</v>
      </c>
      <c r="P104" s="476">
        <f t="shared" si="22"/>
        <v>0</v>
      </c>
    </row>
    <row r="105" spans="1:16">
      <c r="B105" s="160" t="str">
        <f t="shared" si="23"/>
        <v/>
      </c>
      <c r="C105" s="470">
        <f>IF(D93="","-",+C104+1)</f>
        <v>2024</v>
      </c>
      <c r="D105" s="345">
        <f>IF(F104+SUM(E$99:E104)=D$92,F104,D$92-SUM(E$99:E104))</f>
        <v>211380</v>
      </c>
      <c r="E105" s="482">
        <f t="shared" si="27"/>
        <v>5951</v>
      </c>
      <c r="F105" s="483">
        <f t="shared" si="28"/>
        <v>205429</v>
      </c>
      <c r="G105" s="483">
        <f t="shared" si="29"/>
        <v>208404.5</v>
      </c>
      <c r="H105" s="611">
        <f t="shared" si="30"/>
        <v>29665.9301353257</v>
      </c>
      <c r="I105" s="612">
        <f t="shared" si="31"/>
        <v>29665.9301353257</v>
      </c>
      <c r="J105" s="476">
        <f t="shared" si="17"/>
        <v>0</v>
      </c>
      <c r="K105" s="476"/>
      <c r="L105" s="485"/>
      <c r="M105" s="476">
        <f t="shared" si="26"/>
        <v>0</v>
      </c>
      <c r="N105" s="485"/>
      <c r="O105" s="476">
        <f t="shared" si="21"/>
        <v>0</v>
      </c>
      <c r="P105" s="476">
        <f t="shared" si="22"/>
        <v>0</v>
      </c>
    </row>
    <row r="106" spans="1:16">
      <c r="B106" s="160" t="str">
        <f t="shared" si="23"/>
        <v/>
      </c>
      <c r="C106" s="470">
        <f>IF(D93="","-",+C105+1)</f>
        <v>2025</v>
      </c>
      <c r="D106" s="345">
        <f>IF(F105+SUM(E$99:E105)=D$92,F105,D$92-SUM(E$99:E105))</f>
        <v>205429</v>
      </c>
      <c r="E106" s="482">
        <f t="shared" si="27"/>
        <v>5951</v>
      </c>
      <c r="F106" s="483">
        <f t="shared" si="28"/>
        <v>199478</v>
      </c>
      <c r="G106" s="483">
        <f t="shared" si="29"/>
        <v>202453.5</v>
      </c>
      <c r="H106" s="611">
        <f t="shared" si="30"/>
        <v>28988.749223995459</v>
      </c>
      <c r="I106" s="612">
        <f t="shared" si="31"/>
        <v>28988.749223995459</v>
      </c>
      <c r="J106" s="476">
        <f t="shared" si="17"/>
        <v>0</v>
      </c>
      <c r="K106" s="476"/>
      <c r="L106" s="485"/>
      <c r="M106" s="476">
        <f t="shared" si="26"/>
        <v>0</v>
      </c>
      <c r="N106" s="485"/>
      <c r="O106" s="476">
        <f t="shared" si="21"/>
        <v>0</v>
      </c>
      <c r="P106" s="476">
        <f t="shared" si="22"/>
        <v>0</v>
      </c>
    </row>
    <row r="107" spans="1:16">
      <c r="B107" s="160" t="str">
        <f t="shared" si="23"/>
        <v/>
      </c>
      <c r="C107" s="470">
        <f>IF(D93="","-",+C106+1)</f>
        <v>2026</v>
      </c>
      <c r="D107" s="345">
        <f>IF(F106+SUM(E$99:E106)=D$92,F106,D$92-SUM(E$99:E106))</f>
        <v>199478</v>
      </c>
      <c r="E107" s="482">
        <f t="shared" si="27"/>
        <v>5951</v>
      </c>
      <c r="F107" s="483">
        <f t="shared" si="28"/>
        <v>193527</v>
      </c>
      <c r="G107" s="483">
        <f t="shared" si="29"/>
        <v>196502.5</v>
      </c>
      <c r="H107" s="611">
        <f t="shared" si="30"/>
        <v>28311.568312665218</v>
      </c>
      <c r="I107" s="612">
        <f t="shared" si="31"/>
        <v>28311.568312665218</v>
      </c>
      <c r="J107" s="476">
        <f t="shared" si="17"/>
        <v>0</v>
      </c>
      <c r="K107" s="476"/>
      <c r="L107" s="485"/>
      <c r="M107" s="476">
        <f t="shared" si="26"/>
        <v>0</v>
      </c>
      <c r="N107" s="485"/>
      <c r="O107" s="476">
        <f t="shared" si="21"/>
        <v>0</v>
      </c>
      <c r="P107" s="476">
        <f t="shared" si="22"/>
        <v>0</v>
      </c>
    </row>
    <row r="108" spans="1:16">
      <c r="B108" s="160" t="str">
        <f t="shared" si="23"/>
        <v/>
      </c>
      <c r="C108" s="470">
        <f>IF(D93="","-",+C107+1)</f>
        <v>2027</v>
      </c>
      <c r="D108" s="345">
        <f>IF(F107+SUM(E$99:E107)=D$92,F107,D$92-SUM(E$99:E107))</f>
        <v>193527</v>
      </c>
      <c r="E108" s="482">
        <f t="shared" si="27"/>
        <v>5951</v>
      </c>
      <c r="F108" s="483">
        <f t="shared" si="28"/>
        <v>187576</v>
      </c>
      <c r="G108" s="483">
        <f t="shared" si="29"/>
        <v>190551.5</v>
      </c>
      <c r="H108" s="611">
        <f t="shared" si="30"/>
        <v>27634.387401334974</v>
      </c>
      <c r="I108" s="612">
        <f t="shared" si="31"/>
        <v>27634.387401334974</v>
      </c>
      <c r="J108" s="476">
        <f t="shared" si="17"/>
        <v>0</v>
      </c>
      <c r="K108" s="476"/>
      <c r="L108" s="485"/>
      <c r="M108" s="476">
        <f t="shared" si="26"/>
        <v>0</v>
      </c>
      <c r="N108" s="485"/>
      <c r="O108" s="476">
        <f t="shared" si="21"/>
        <v>0</v>
      </c>
      <c r="P108" s="476">
        <f t="shared" si="22"/>
        <v>0</v>
      </c>
    </row>
    <row r="109" spans="1:16">
      <c r="B109" s="160" t="str">
        <f t="shared" si="23"/>
        <v/>
      </c>
      <c r="C109" s="470">
        <f>IF(D93="","-",+C108+1)</f>
        <v>2028</v>
      </c>
      <c r="D109" s="345">
        <f>IF(F108+SUM(E$99:E108)=D$92,F108,D$92-SUM(E$99:E108))</f>
        <v>187576</v>
      </c>
      <c r="E109" s="482">
        <f t="shared" si="27"/>
        <v>5951</v>
      </c>
      <c r="F109" s="483">
        <f t="shared" si="28"/>
        <v>181625</v>
      </c>
      <c r="G109" s="483">
        <f t="shared" si="29"/>
        <v>184600.5</v>
      </c>
      <c r="H109" s="611">
        <f t="shared" si="30"/>
        <v>26957.206490004733</v>
      </c>
      <c r="I109" s="612">
        <f t="shared" si="31"/>
        <v>26957.206490004733</v>
      </c>
      <c r="J109" s="476">
        <f t="shared" si="17"/>
        <v>0</v>
      </c>
      <c r="K109" s="476"/>
      <c r="L109" s="485"/>
      <c r="M109" s="476">
        <f t="shared" si="26"/>
        <v>0</v>
      </c>
      <c r="N109" s="485"/>
      <c r="O109" s="476">
        <f t="shared" si="21"/>
        <v>0</v>
      </c>
      <c r="P109" s="476">
        <f t="shared" si="22"/>
        <v>0</v>
      </c>
    </row>
    <row r="110" spans="1:16">
      <c r="B110" s="160" t="str">
        <f t="shared" si="23"/>
        <v/>
      </c>
      <c r="C110" s="470">
        <f>IF(D93="","-",+C109+1)</f>
        <v>2029</v>
      </c>
      <c r="D110" s="345">
        <f>IF(F109+SUM(E$99:E109)=D$92,F109,D$92-SUM(E$99:E109))</f>
        <v>181625</v>
      </c>
      <c r="E110" s="482">
        <f t="shared" si="27"/>
        <v>5951</v>
      </c>
      <c r="F110" s="483">
        <f t="shared" si="28"/>
        <v>175674</v>
      </c>
      <c r="G110" s="483">
        <f t="shared" si="29"/>
        <v>178649.5</v>
      </c>
      <c r="H110" s="611">
        <f t="shared" si="30"/>
        <v>26280.025578674493</v>
      </c>
      <c r="I110" s="612">
        <f t="shared" si="31"/>
        <v>26280.025578674493</v>
      </c>
      <c r="J110" s="476">
        <f t="shared" si="17"/>
        <v>0</v>
      </c>
      <c r="K110" s="476"/>
      <c r="L110" s="485"/>
      <c r="M110" s="476">
        <f t="shared" si="26"/>
        <v>0</v>
      </c>
      <c r="N110" s="485"/>
      <c r="O110" s="476">
        <f t="shared" si="21"/>
        <v>0</v>
      </c>
      <c r="P110" s="476">
        <f t="shared" si="22"/>
        <v>0</v>
      </c>
    </row>
    <row r="111" spans="1:16">
      <c r="B111" s="160" t="str">
        <f t="shared" si="23"/>
        <v/>
      </c>
      <c r="C111" s="470">
        <f>IF(D93="","-",+C110+1)</f>
        <v>2030</v>
      </c>
      <c r="D111" s="345">
        <f>IF(F110+SUM(E$99:E110)=D$92,F110,D$92-SUM(E$99:E110))</f>
        <v>175674</v>
      </c>
      <c r="E111" s="482">
        <f t="shared" si="27"/>
        <v>5951</v>
      </c>
      <c r="F111" s="483">
        <f t="shared" si="28"/>
        <v>169723</v>
      </c>
      <c r="G111" s="483">
        <f t="shared" si="29"/>
        <v>172698.5</v>
      </c>
      <c r="H111" s="611">
        <f t="shared" si="30"/>
        <v>25602.844667344252</v>
      </c>
      <c r="I111" s="612">
        <f t="shared" si="31"/>
        <v>25602.844667344252</v>
      </c>
      <c r="J111" s="476">
        <f t="shared" si="17"/>
        <v>0</v>
      </c>
      <c r="K111" s="476"/>
      <c r="L111" s="485"/>
      <c r="M111" s="476">
        <f t="shared" si="26"/>
        <v>0</v>
      </c>
      <c r="N111" s="485"/>
      <c r="O111" s="476">
        <f t="shared" si="21"/>
        <v>0</v>
      </c>
      <c r="P111" s="476">
        <f t="shared" si="22"/>
        <v>0</v>
      </c>
    </row>
    <row r="112" spans="1:16">
      <c r="B112" s="160" t="str">
        <f t="shared" si="23"/>
        <v/>
      </c>
      <c r="C112" s="470">
        <f>IF(D93="","-",+C111+1)</f>
        <v>2031</v>
      </c>
      <c r="D112" s="345">
        <f>IF(F111+SUM(E$99:E111)=D$92,F111,D$92-SUM(E$99:E111))</f>
        <v>169723</v>
      </c>
      <c r="E112" s="482">
        <f t="shared" si="27"/>
        <v>5951</v>
      </c>
      <c r="F112" s="483">
        <f t="shared" si="28"/>
        <v>163772</v>
      </c>
      <c r="G112" s="483">
        <f t="shared" si="29"/>
        <v>166747.5</v>
      </c>
      <c r="H112" s="611">
        <f t="shared" si="30"/>
        <v>24925.663756014012</v>
      </c>
      <c r="I112" s="612">
        <f t="shared" si="31"/>
        <v>24925.663756014012</v>
      </c>
      <c r="J112" s="476">
        <f t="shared" si="17"/>
        <v>0</v>
      </c>
      <c r="K112" s="476"/>
      <c r="L112" s="485"/>
      <c r="M112" s="476">
        <f t="shared" si="26"/>
        <v>0</v>
      </c>
      <c r="N112" s="485"/>
      <c r="O112" s="476">
        <f t="shared" si="21"/>
        <v>0</v>
      </c>
      <c r="P112" s="476">
        <f t="shared" si="22"/>
        <v>0</v>
      </c>
    </row>
    <row r="113" spans="2:16">
      <c r="B113" s="160" t="str">
        <f t="shared" si="23"/>
        <v/>
      </c>
      <c r="C113" s="470">
        <f>IF(D93="","-",+C112+1)</f>
        <v>2032</v>
      </c>
      <c r="D113" s="345">
        <f>IF(F112+SUM(E$99:E112)=D$92,F112,D$92-SUM(E$99:E112))</f>
        <v>163772</v>
      </c>
      <c r="E113" s="482">
        <f t="shared" si="27"/>
        <v>5951</v>
      </c>
      <c r="F113" s="483">
        <f t="shared" si="28"/>
        <v>157821</v>
      </c>
      <c r="G113" s="483">
        <f t="shared" si="29"/>
        <v>160796.5</v>
      </c>
      <c r="H113" s="611">
        <f t="shared" si="30"/>
        <v>24248.482844683771</v>
      </c>
      <c r="I113" s="612">
        <f t="shared" si="31"/>
        <v>24248.482844683771</v>
      </c>
      <c r="J113" s="476">
        <f t="shared" si="17"/>
        <v>0</v>
      </c>
      <c r="K113" s="476"/>
      <c r="L113" s="485"/>
      <c r="M113" s="476">
        <f t="shared" si="26"/>
        <v>0</v>
      </c>
      <c r="N113" s="485"/>
      <c r="O113" s="476">
        <f t="shared" si="21"/>
        <v>0</v>
      </c>
      <c r="P113" s="476">
        <f t="shared" si="22"/>
        <v>0</v>
      </c>
    </row>
    <row r="114" spans="2:16">
      <c r="B114" s="160" t="str">
        <f t="shared" si="23"/>
        <v/>
      </c>
      <c r="C114" s="470">
        <f>IF(D93="","-",+C113+1)</f>
        <v>2033</v>
      </c>
      <c r="D114" s="345">
        <f>IF(F113+SUM(E$99:E113)=D$92,F113,D$92-SUM(E$99:E113))</f>
        <v>157821</v>
      </c>
      <c r="E114" s="482">
        <f t="shared" si="27"/>
        <v>5951</v>
      </c>
      <c r="F114" s="483">
        <f t="shared" si="28"/>
        <v>151870</v>
      </c>
      <c r="G114" s="483">
        <f t="shared" si="29"/>
        <v>154845.5</v>
      </c>
      <c r="H114" s="611">
        <f t="shared" si="30"/>
        <v>23571.30193335353</v>
      </c>
      <c r="I114" s="612">
        <f t="shared" si="31"/>
        <v>23571.30193335353</v>
      </c>
      <c r="J114" s="476">
        <f t="shared" si="17"/>
        <v>0</v>
      </c>
      <c r="K114" s="476"/>
      <c r="L114" s="485"/>
      <c r="M114" s="476">
        <f t="shared" si="26"/>
        <v>0</v>
      </c>
      <c r="N114" s="485"/>
      <c r="O114" s="476">
        <f t="shared" si="21"/>
        <v>0</v>
      </c>
      <c r="P114" s="476">
        <f t="shared" si="22"/>
        <v>0</v>
      </c>
    </row>
    <row r="115" spans="2:16">
      <c r="B115" s="160" t="str">
        <f t="shared" si="23"/>
        <v/>
      </c>
      <c r="C115" s="470">
        <f>IF(D93="","-",+C114+1)</f>
        <v>2034</v>
      </c>
      <c r="D115" s="345">
        <f>IF(F114+SUM(E$99:E114)=D$92,F114,D$92-SUM(E$99:E114))</f>
        <v>151870</v>
      </c>
      <c r="E115" s="482">
        <f t="shared" si="27"/>
        <v>5951</v>
      </c>
      <c r="F115" s="483">
        <f t="shared" si="28"/>
        <v>145919</v>
      </c>
      <c r="G115" s="483">
        <f t="shared" si="29"/>
        <v>148894.5</v>
      </c>
      <c r="H115" s="611">
        <f t="shared" si="30"/>
        <v>22894.121022023286</v>
      </c>
      <c r="I115" s="612">
        <f t="shared" si="31"/>
        <v>22894.121022023286</v>
      </c>
      <c r="J115" s="476">
        <f t="shared" si="17"/>
        <v>0</v>
      </c>
      <c r="K115" s="476"/>
      <c r="L115" s="485"/>
      <c r="M115" s="476">
        <f t="shared" si="26"/>
        <v>0</v>
      </c>
      <c r="N115" s="485"/>
      <c r="O115" s="476">
        <f t="shared" si="21"/>
        <v>0</v>
      </c>
      <c r="P115" s="476">
        <f t="shared" si="22"/>
        <v>0</v>
      </c>
    </row>
    <row r="116" spans="2:16">
      <c r="B116" s="160" t="str">
        <f t="shared" si="23"/>
        <v/>
      </c>
      <c r="C116" s="470">
        <f>IF(D93="","-",+C115+1)</f>
        <v>2035</v>
      </c>
      <c r="D116" s="345">
        <f>IF(F115+SUM(E$99:E115)=D$92,F115,D$92-SUM(E$99:E115))</f>
        <v>145919</v>
      </c>
      <c r="E116" s="482">
        <f t="shared" si="27"/>
        <v>5951</v>
      </c>
      <c r="F116" s="483">
        <f t="shared" si="28"/>
        <v>139968</v>
      </c>
      <c r="G116" s="483">
        <f t="shared" si="29"/>
        <v>142943.5</v>
      </c>
      <c r="H116" s="611">
        <f t="shared" si="30"/>
        <v>22216.940110693045</v>
      </c>
      <c r="I116" s="612">
        <f t="shared" si="31"/>
        <v>22216.940110693045</v>
      </c>
      <c r="J116" s="476">
        <f t="shared" si="17"/>
        <v>0</v>
      </c>
      <c r="K116" s="476"/>
      <c r="L116" s="485"/>
      <c r="M116" s="476">
        <f t="shared" si="26"/>
        <v>0</v>
      </c>
      <c r="N116" s="485"/>
      <c r="O116" s="476">
        <f t="shared" si="21"/>
        <v>0</v>
      </c>
      <c r="P116" s="476">
        <f t="shared" si="22"/>
        <v>0</v>
      </c>
    </row>
    <row r="117" spans="2:16">
      <c r="B117" s="160" t="str">
        <f t="shared" si="23"/>
        <v/>
      </c>
      <c r="C117" s="470">
        <f>IF(D93="","-",+C116+1)</f>
        <v>2036</v>
      </c>
      <c r="D117" s="345">
        <f>IF(F116+SUM(E$99:E116)=D$92,F116,D$92-SUM(E$99:E116))</f>
        <v>139968</v>
      </c>
      <c r="E117" s="482">
        <f t="shared" si="27"/>
        <v>5951</v>
      </c>
      <c r="F117" s="483">
        <f t="shared" si="28"/>
        <v>134017</v>
      </c>
      <c r="G117" s="483">
        <f t="shared" si="29"/>
        <v>136992.5</v>
      </c>
      <c r="H117" s="611">
        <f t="shared" si="30"/>
        <v>21539.759199362805</v>
      </c>
      <c r="I117" s="612">
        <f t="shared" si="31"/>
        <v>21539.759199362805</v>
      </c>
      <c r="J117" s="476">
        <f t="shared" si="17"/>
        <v>0</v>
      </c>
      <c r="K117" s="476"/>
      <c r="L117" s="485"/>
      <c r="M117" s="476">
        <f t="shared" si="26"/>
        <v>0</v>
      </c>
      <c r="N117" s="485"/>
      <c r="O117" s="476">
        <f t="shared" si="21"/>
        <v>0</v>
      </c>
      <c r="P117" s="476">
        <f t="shared" si="22"/>
        <v>0</v>
      </c>
    </row>
    <row r="118" spans="2:16">
      <c r="B118" s="160" t="str">
        <f t="shared" si="23"/>
        <v/>
      </c>
      <c r="C118" s="470">
        <f>IF(D93="","-",+C117+1)</f>
        <v>2037</v>
      </c>
      <c r="D118" s="345">
        <f>IF(F117+SUM(E$99:E117)=D$92,F117,D$92-SUM(E$99:E117))</f>
        <v>134017</v>
      </c>
      <c r="E118" s="482">
        <f t="shared" si="27"/>
        <v>5951</v>
      </c>
      <c r="F118" s="483">
        <f t="shared" si="28"/>
        <v>128066</v>
      </c>
      <c r="G118" s="483">
        <f t="shared" si="29"/>
        <v>131041.5</v>
      </c>
      <c r="H118" s="611">
        <f t="shared" si="30"/>
        <v>20862.578288032564</v>
      </c>
      <c r="I118" s="612">
        <f t="shared" si="31"/>
        <v>20862.578288032564</v>
      </c>
      <c r="J118" s="476">
        <f t="shared" si="17"/>
        <v>0</v>
      </c>
      <c r="K118" s="476"/>
      <c r="L118" s="485"/>
      <c r="M118" s="476">
        <f t="shared" si="26"/>
        <v>0</v>
      </c>
      <c r="N118" s="485"/>
      <c r="O118" s="476">
        <f t="shared" si="21"/>
        <v>0</v>
      </c>
      <c r="P118" s="476">
        <f t="shared" si="22"/>
        <v>0</v>
      </c>
    </row>
    <row r="119" spans="2:16">
      <c r="B119" s="160" t="str">
        <f t="shared" si="23"/>
        <v/>
      </c>
      <c r="C119" s="470">
        <f>IF(D93="","-",+C118+1)</f>
        <v>2038</v>
      </c>
      <c r="D119" s="345">
        <f>IF(F118+SUM(E$99:E118)=D$92,F118,D$92-SUM(E$99:E118))</f>
        <v>128066</v>
      </c>
      <c r="E119" s="482">
        <f t="shared" si="27"/>
        <v>5951</v>
      </c>
      <c r="F119" s="483">
        <f t="shared" si="28"/>
        <v>122115</v>
      </c>
      <c r="G119" s="483">
        <f t="shared" si="29"/>
        <v>125090.5</v>
      </c>
      <c r="H119" s="611">
        <f t="shared" si="30"/>
        <v>20185.397376702324</v>
      </c>
      <c r="I119" s="612">
        <f t="shared" si="31"/>
        <v>20185.397376702324</v>
      </c>
      <c r="J119" s="476">
        <f t="shared" si="17"/>
        <v>0</v>
      </c>
      <c r="K119" s="476"/>
      <c r="L119" s="485"/>
      <c r="M119" s="476">
        <f t="shared" si="26"/>
        <v>0</v>
      </c>
      <c r="N119" s="485"/>
      <c r="O119" s="476">
        <f t="shared" si="21"/>
        <v>0</v>
      </c>
      <c r="P119" s="476">
        <f t="shared" si="22"/>
        <v>0</v>
      </c>
    </row>
    <row r="120" spans="2:16">
      <c r="B120" s="160" t="str">
        <f t="shared" si="23"/>
        <v/>
      </c>
      <c r="C120" s="470">
        <f>IF(D93="","-",+C119+1)</f>
        <v>2039</v>
      </c>
      <c r="D120" s="345">
        <f>IF(F119+SUM(E$99:E119)=D$92,F119,D$92-SUM(E$99:E119))</f>
        <v>122115</v>
      </c>
      <c r="E120" s="482">
        <f t="shared" si="27"/>
        <v>5951</v>
      </c>
      <c r="F120" s="483">
        <f t="shared" si="28"/>
        <v>116164</v>
      </c>
      <c r="G120" s="483">
        <f t="shared" si="29"/>
        <v>119139.5</v>
      </c>
      <c r="H120" s="611">
        <f t="shared" si="30"/>
        <v>19508.216465372083</v>
      </c>
      <c r="I120" s="612">
        <f t="shared" si="31"/>
        <v>19508.216465372083</v>
      </c>
      <c r="J120" s="476">
        <f t="shared" si="17"/>
        <v>0</v>
      </c>
      <c r="K120" s="476"/>
      <c r="L120" s="485"/>
      <c r="M120" s="476">
        <f t="shared" si="26"/>
        <v>0</v>
      </c>
      <c r="N120" s="485"/>
      <c r="O120" s="476">
        <f t="shared" si="21"/>
        <v>0</v>
      </c>
      <c r="P120" s="476">
        <f t="shared" si="22"/>
        <v>0</v>
      </c>
    </row>
    <row r="121" spans="2:16">
      <c r="B121" s="160" t="str">
        <f t="shared" si="23"/>
        <v/>
      </c>
      <c r="C121" s="470">
        <f>IF(D93="","-",+C120+1)</f>
        <v>2040</v>
      </c>
      <c r="D121" s="345">
        <f>IF(F120+SUM(E$99:E120)=D$92,F120,D$92-SUM(E$99:E120))</f>
        <v>116164</v>
      </c>
      <c r="E121" s="482">
        <f t="shared" si="27"/>
        <v>5951</v>
      </c>
      <c r="F121" s="483">
        <f t="shared" si="28"/>
        <v>110213</v>
      </c>
      <c r="G121" s="483">
        <f t="shared" si="29"/>
        <v>113188.5</v>
      </c>
      <c r="H121" s="611">
        <f t="shared" si="30"/>
        <v>18831.035554041839</v>
      </c>
      <c r="I121" s="612">
        <f t="shared" si="31"/>
        <v>18831.035554041839</v>
      </c>
      <c r="J121" s="476">
        <f t="shared" si="17"/>
        <v>0</v>
      </c>
      <c r="K121" s="476"/>
      <c r="L121" s="485"/>
      <c r="M121" s="476">
        <f t="shared" si="26"/>
        <v>0</v>
      </c>
      <c r="N121" s="485"/>
      <c r="O121" s="476">
        <f t="shared" si="21"/>
        <v>0</v>
      </c>
      <c r="P121" s="476">
        <f t="shared" si="22"/>
        <v>0</v>
      </c>
    </row>
    <row r="122" spans="2:16">
      <c r="B122" s="160" t="str">
        <f t="shared" si="23"/>
        <v/>
      </c>
      <c r="C122" s="470">
        <f>IF(D93="","-",+C121+1)</f>
        <v>2041</v>
      </c>
      <c r="D122" s="345">
        <f>IF(F121+SUM(E$99:E121)=D$92,F121,D$92-SUM(E$99:E121))</f>
        <v>110213</v>
      </c>
      <c r="E122" s="482">
        <f t="shared" si="27"/>
        <v>5951</v>
      </c>
      <c r="F122" s="483">
        <f t="shared" si="28"/>
        <v>104262</v>
      </c>
      <c r="G122" s="483">
        <f t="shared" si="29"/>
        <v>107237.5</v>
      </c>
      <c r="H122" s="611">
        <f t="shared" si="30"/>
        <v>18153.854642711602</v>
      </c>
      <c r="I122" s="612">
        <f t="shared" si="31"/>
        <v>18153.854642711602</v>
      </c>
      <c r="J122" s="476">
        <f t="shared" si="17"/>
        <v>0</v>
      </c>
      <c r="K122" s="476"/>
      <c r="L122" s="485"/>
      <c r="M122" s="476">
        <f t="shared" si="26"/>
        <v>0</v>
      </c>
      <c r="N122" s="485"/>
      <c r="O122" s="476">
        <f t="shared" si="21"/>
        <v>0</v>
      </c>
      <c r="P122" s="476">
        <f t="shared" si="22"/>
        <v>0</v>
      </c>
    </row>
    <row r="123" spans="2:16">
      <c r="B123" s="160" t="str">
        <f t="shared" si="23"/>
        <v/>
      </c>
      <c r="C123" s="470">
        <f>IF(D93="","-",+C122+1)</f>
        <v>2042</v>
      </c>
      <c r="D123" s="345">
        <f>IF(F122+SUM(E$99:E122)=D$92,F122,D$92-SUM(E$99:E122))</f>
        <v>104262</v>
      </c>
      <c r="E123" s="482">
        <f t="shared" si="27"/>
        <v>5951</v>
      </c>
      <c r="F123" s="483">
        <f t="shared" si="28"/>
        <v>98311</v>
      </c>
      <c r="G123" s="483">
        <f t="shared" si="29"/>
        <v>101286.5</v>
      </c>
      <c r="H123" s="611">
        <f t="shared" si="30"/>
        <v>17476.673731381357</v>
      </c>
      <c r="I123" s="612">
        <f t="shared" si="31"/>
        <v>17476.673731381357</v>
      </c>
      <c r="J123" s="476">
        <f t="shared" si="17"/>
        <v>0</v>
      </c>
      <c r="K123" s="476"/>
      <c r="L123" s="485"/>
      <c r="M123" s="476">
        <f t="shared" si="26"/>
        <v>0</v>
      </c>
      <c r="N123" s="485"/>
      <c r="O123" s="476">
        <f t="shared" si="21"/>
        <v>0</v>
      </c>
      <c r="P123" s="476">
        <f t="shared" si="22"/>
        <v>0</v>
      </c>
    </row>
    <row r="124" spans="2:16">
      <c r="B124" s="160" t="str">
        <f t="shared" si="23"/>
        <v/>
      </c>
      <c r="C124" s="470">
        <f>IF(D93="","-",+C123+1)</f>
        <v>2043</v>
      </c>
      <c r="D124" s="345">
        <f>IF(F123+SUM(E$99:E123)=D$92,F123,D$92-SUM(E$99:E123))</f>
        <v>98311</v>
      </c>
      <c r="E124" s="482">
        <f t="shared" si="27"/>
        <v>5951</v>
      </c>
      <c r="F124" s="483">
        <f t="shared" si="28"/>
        <v>92360</v>
      </c>
      <c r="G124" s="483">
        <f t="shared" si="29"/>
        <v>95335.5</v>
      </c>
      <c r="H124" s="611">
        <f t="shared" si="30"/>
        <v>16799.49282005112</v>
      </c>
      <c r="I124" s="612">
        <f t="shared" si="31"/>
        <v>16799.49282005112</v>
      </c>
      <c r="J124" s="476">
        <f t="shared" si="17"/>
        <v>0</v>
      </c>
      <c r="K124" s="476"/>
      <c r="L124" s="485"/>
      <c r="M124" s="476">
        <f t="shared" si="26"/>
        <v>0</v>
      </c>
      <c r="N124" s="485"/>
      <c r="O124" s="476">
        <f t="shared" si="21"/>
        <v>0</v>
      </c>
      <c r="P124" s="476">
        <f t="shared" si="22"/>
        <v>0</v>
      </c>
    </row>
    <row r="125" spans="2:16">
      <c r="B125" s="160" t="str">
        <f t="shared" si="23"/>
        <v/>
      </c>
      <c r="C125" s="470">
        <f>IF(D93="","-",+C124+1)</f>
        <v>2044</v>
      </c>
      <c r="D125" s="345">
        <f>IF(F124+SUM(E$99:E124)=D$92,F124,D$92-SUM(E$99:E124))</f>
        <v>92360</v>
      </c>
      <c r="E125" s="482">
        <f t="shared" si="27"/>
        <v>5951</v>
      </c>
      <c r="F125" s="483">
        <f t="shared" si="28"/>
        <v>86409</v>
      </c>
      <c r="G125" s="483">
        <f t="shared" si="29"/>
        <v>89384.5</v>
      </c>
      <c r="H125" s="611">
        <f t="shared" si="30"/>
        <v>16122.311908720876</v>
      </c>
      <c r="I125" s="612">
        <f t="shared" si="31"/>
        <v>16122.311908720876</v>
      </c>
      <c r="J125" s="476">
        <f t="shared" si="17"/>
        <v>0</v>
      </c>
      <c r="K125" s="476"/>
      <c r="L125" s="485"/>
      <c r="M125" s="476">
        <f t="shared" si="26"/>
        <v>0</v>
      </c>
      <c r="N125" s="485"/>
      <c r="O125" s="476">
        <f t="shared" si="21"/>
        <v>0</v>
      </c>
      <c r="P125" s="476">
        <f t="shared" si="22"/>
        <v>0</v>
      </c>
    </row>
    <row r="126" spans="2:16">
      <c r="B126" s="160" t="str">
        <f t="shared" si="23"/>
        <v/>
      </c>
      <c r="C126" s="470">
        <f>IF(D93="","-",+C125+1)</f>
        <v>2045</v>
      </c>
      <c r="D126" s="345">
        <f>IF(F125+SUM(E$99:E125)=D$92,F125,D$92-SUM(E$99:E125))</f>
        <v>86409</v>
      </c>
      <c r="E126" s="482">
        <f t="shared" si="27"/>
        <v>5951</v>
      </c>
      <c r="F126" s="483">
        <f t="shared" si="28"/>
        <v>80458</v>
      </c>
      <c r="G126" s="483">
        <f t="shared" si="29"/>
        <v>83433.5</v>
      </c>
      <c r="H126" s="611">
        <f t="shared" si="30"/>
        <v>15445.130997390635</v>
      </c>
      <c r="I126" s="612">
        <f t="shared" si="31"/>
        <v>15445.130997390635</v>
      </c>
      <c r="J126" s="476">
        <f t="shared" si="17"/>
        <v>0</v>
      </c>
      <c r="K126" s="476"/>
      <c r="L126" s="485"/>
      <c r="M126" s="476">
        <f t="shared" si="26"/>
        <v>0</v>
      </c>
      <c r="N126" s="485"/>
      <c r="O126" s="476">
        <f t="shared" si="21"/>
        <v>0</v>
      </c>
      <c r="P126" s="476">
        <f t="shared" si="22"/>
        <v>0</v>
      </c>
    </row>
    <row r="127" spans="2:16">
      <c r="B127" s="160" t="str">
        <f t="shared" si="23"/>
        <v/>
      </c>
      <c r="C127" s="470">
        <f>IF(D93="","-",+C126+1)</f>
        <v>2046</v>
      </c>
      <c r="D127" s="345">
        <f>IF(F126+SUM(E$99:E126)=D$92,F126,D$92-SUM(E$99:E126))</f>
        <v>80458</v>
      </c>
      <c r="E127" s="482">
        <f t="shared" si="27"/>
        <v>5951</v>
      </c>
      <c r="F127" s="483">
        <f t="shared" si="28"/>
        <v>74507</v>
      </c>
      <c r="G127" s="483">
        <f t="shared" si="29"/>
        <v>77482.5</v>
      </c>
      <c r="H127" s="611">
        <f t="shared" si="30"/>
        <v>14767.950086060395</v>
      </c>
      <c r="I127" s="612">
        <f t="shared" si="31"/>
        <v>14767.950086060395</v>
      </c>
      <c r="J127" s="476">
        <f t="shared" si="17"/>
        <v>0</v>
      </c>
      <c r="K127" s="476"/>
      <c r="L127" s="485"/>
      <c r="M127" s="476">
        <f t="shared" si="26"/>
        <v>0</v>
      </c>
      <c r="N127" s="485"/>
      <c r="O127" s="476">
        <f t="shared" si="21"/>
        <v>0</v>
      </c>
      <c r="P127" s="476">
        <f t="shared" si="22"/>
        <v>0</v>
      </c>
    </row>
    <row r="128" spans="2:16">
      <c r="B128" s="160" t="str">
        <f t="shared" si="23"/>
        <v/>
      </c>
      <c r="C128" s="470">
        <f>IF(D93="","-",+C127+1)</f>
        <v>2047</v>
      </c>
      <c r="D128" s="345">
        <f>IF(F127+SUM(E$99:E127)=D$92,F127,D$92-SUM(E$99:E127))</f>
        <v>74507</v>
      </c>
      <c r="E128" s="482">
        <f t="shared" si="27"/>
        <v>5951</v>
      </c>
      <c r="F128" s="483">
        <f t="shared" si="28"/>
        <v>68556</v>
      </c>
      <c r="G128" s="483">
        <f t="shared" si="29"/>
        <v>71531.5</v>
      </c>
      <c r="H128" s="611">
        <f t="shared" si="30"/>
        <v>14090.769174730154</v>
      </c>
      <c r="I128" s="612">
        <f t="shared" si="31"/>
        <v>14090.769174730154</v>
      </c>
      <c r="J128" s="476">
        <f t="shared" si="17"/>
        <v>0</v>
      </c>
      <c r="K128" s="476"/>
      <c r="L128" s="485"/>
      <c r="M128" s="476">
        <f t="shared" si="26"/>
        <v>0</v>
      </c>
      <c r="N128" s="485"/>
      <c r="O128" s="476">
        <f t="shared" si="21"/>
        <v>0</v>
      </c>
      <c r="P128" s="476">
        <f t="shared" si="22"/>
        <v>0</v>
      </c>
    </row>
    <row r="129" spans="2:16">
      <c r="B129" s="160" t="str">
        <f t="shared" si="23"/>
        <v/>
      </c>
      <c r="C129" s="470">
        <f>IF(D93="","-",+C128+1)</f>
        <v>2048</v>
      </c>
      <c r="D129" s="345">
        <f>IF(F128+SUM(E$99:E128)=D$92,F128,D$92-SUM(E$99:E128))</f>
        <v>68556</v>
      </c>
      <c r="E129" s="482">
        <f t="shared" si="27"/>
        <v>5951</v>
      </c>
      <c r="F129" s="483">
        <f t="shared" si="28"/>
        <v>62605</v>
      </c>
      <c r="G129" s="483">
        <f t="shared" si="29"/>
        <v>65580.5</v>
      </c>
      <c r="H129" s="611">
        <f t="shared" si="30"/>
        <v>13413.588263399912</v>
      </c>
      <c r="I129" s="612">
        <f t="shared" si="31"/>
        <v>13413.588263399912</v>
      </c>
      <c r="J129" s="476">
        <f t="shared" si="17"/>
        <v>0</v>
      </c>
      <c r="K129" s="476"/>
      <c r="L129" s="485"/>
      <c r="M129" s="476">
        <f t="shared" si="26"/>
        <v>0</v>
      </c>
      <c r="N129" s="485"/>
      <c r="O129" s="476">
        <f t="shared" si="21"/>
        <v>0</v>
      </c>
      <c r="P129" s="476">
        <f t="shared" si="22"/>
        <v>0</v>
      </c>
    </row>
    <row r="130" spans="2:16">
      <c r="B130" s="160" t="str">
        <f t="shared" si="23"/>
        <v/>
      </c>
      <c r="C130" s="470">
        <f>IF(D93="","-",+C129+1)</f>
        <v>2049</v>
      </c>
      <c r="D130" s="345">
        <f>IF(F129+SUM(E$99:E129)=D$92,F129,D$92-SUM(E$99:E129))</f>
        <v>62605</v>
      </c>
      <c r="E130" s="482">
        <f t="shared" si="27"/>
        <v>5951</v>
      </c>
      <c r="F130" s="483">
        <f t="shared" si="28"/>
        <v>56654</v>
      </c>
      <c r="G130" s="483">
        <f t="shared" si="29"/>
        <v>59629.5</v>
      </c>
      <c r="H130" s="611">
        <f t="shared" si="30"/>
        <v>12736.407352069671</v>
      </c>
      <c r="I130" s="612">
        <f t="shared" si="31"/>
        <v>12736.407352069671</v>
      </c>
      <c r="J130" s="476">
        <f t="shared" si="17"/>
        <v>0</v>
      </c>
      <c r="K130" s="476"/>
      <c r="L130" s="485"/>
      <c r="M130" s="476">
        <f t="shared" si="26"/>
        <v>0</v>
      </c>
      <c r="N130" s="485"/>
      <c r="O130" s="476">
        <f t="shared" si="21"/>
        <v>0</v>
      </c>
      <c r="P130" s="476">
        <f t="shared" si="22"/>
        <v>0</v>
      </c>
    </row>
    <row r="131" spans="2:16">
      <c r="B131" s="160" t="str">
        <f t="shared" si="23"/>
        <v/>
      </c>
      <c r="C131" s="470">
        <f>IF(D93="","-",+C130+1)</f>
        <v>2050</v>
      </c>
      <c r="D131" s="345">
        <f>IF(F130+SUM(E$99:E130)=D$92,F130,D$92-SUM(E$99:E130))</f>
        <v>56654</v>
      </c>
      <c r="E131" s="482">
        <f t="shared" si="27"/>
        <v>5951</v>
      </c>
      <c r="F131" s="483">
        <f t="shared" si="28"/>
        <v>50703</v>
      </c>
      <c r="G131" s="483">
        <f t="shared" si="29"/>
        <v>53678.5</v>
      </c>
      <c r="H131" s="611">
        <f t="shared" si="30"/>
        <v>12059.226440739429</v>
      </c>
      <c r="I131" s="612">
        <f t="shared" si="31"/>
        <v>12059.226440739429</v>
      </c>
      <c r="J131" s="476">
        <f t="shared" ref="J131:J154" si="32">+I541-H541</f>
        <v>0</v>
      </c>
      <c r="K131" s="476"/>
      <c r="L131" s="485"/>
      <c r="M131" s="476">
        <f t="shared" ref="M131:M154" si="33">IF(L541&lt;&gt;0,+H541-L541,0)</f>
        <v>0</v>
      </c>
      <c r="N131" s="485"/>
      <c r="O131" s="476">
        <f t="shared" ref="O131:O154" si="34">IF(N541&lt;&gt;0,+I541-N541,0)</f>
        <v>0</v>
      </c>
      <c r="P131" s="476">
        <f t="shared" ref="P131:P154" si="35">+O541-M541</f>
        <v>0</v>
      </c>
    </row>
    <row r="132" spans="2:16">
      <c r="B132" s="160" t="str">
        <f t="shared" si="23"/>
        <v/>
      </c>
      <c r="C132" s="470">
        <f>IF(D93="","-",+C131+1)</f>
        <v>2051</v>
      </c>
      <c r="D132" s="345">
        <f>IF(F131+SUM(E$99:E131)=D$92,F131,D$92-SUM(E$99:E131))</f>
        <v>50703</v>
      </c>
      <c r="E132" s="482">
        <f t="shared" si="27"/>
        <v>5951</v>
      </c>
      <c r="F132" s="483">
        <f t="shared" si="28"/>
        <v>44752</v>
      </c>
      <c r="G132" s="483">
        <f t="shared" si="29"/>
        <v>47727.5</v>
      </c>
      <c r="H132" s="611">
        <f t="shared" si="30"/>
        <v>11382.045529409188</v>
      </c>
      <c r="I132" s="612">
        <f t="shared" si="31"/>
        <v>11382.045529409188</v>
      </c>
      <c r="J132" s="476">
        <f t="shared" si="32"/>
        <v>0</v>
      </c>
      <c r="K132" s="476"/>
      <c r="L132" s="485"/>
      <c r="M132" s="476">
        <f t="shared" si="33"/>
        <v>0</v>
      </c>
      <c r="N132" s="485"/>
      <c r="O132" s="476">
        <f t="shared" si="34"/>
        <v>0</v>
      </c>
      <c r="P132" s="476">
        <f t="shared" si="35"/>
        <v>0</v>
      </c>
    </row>
    <row r="133" spans="2:16">
      <c r="B133" s="160" t="str">
        <f t="shared" si="23"/>
        <v/>
      </c>
      <c r="C133" s="470">
        <f>IF(D93="","-",+C132+1)</f>
        <v>2052</v>
      </c>
      <c r="D133" s="345">
        <f>IF(F132+SUM(E$99:E132)=D$92,F132,D$92-SUM(E$99:E132))</f>
        <v>44752</v>
      </c>
      <c r="E133" s="482">
        <f t="shared" si="27"/>
        <v>5951</v>
      </c>
      <c r="F133" s="483">
        <f t="shared" si="28"/>
        <v>38801</v>
      </c>
      <c r="G133" s="483">
        <f t="shared" si="29"/>
        <v>41776.5</v>
      </c>
      <c r="H133" s="611">
        <f t="shared" si="30"/>
        <v>10704.864618078947</v>
      </c>
      <c r="I133" s="612">
        <f t="shared" si="31"/>
        <v>10704.864618078947</v>
      </c>
      <c r="J133" s="476">
        <f t="shared" si="32"/>
        <v>0</v>
      </c>
      <c r="K133" s="476"/>
      <c r="L133" s="485"/>
      <c r="M133" s="476">
        <f t="shared" si="33"/>
        <v>0</v>
      </c>
      <c r="N133" s="485"/>
      <c r="O133" s="476">
        <f t="shared" si="34"/>
        <v>0</v>
      </c>
      <c r="P133" s="476">
        <f t="shared" si="35"/>
        <v>0</v>
      </c>
    </row>
    <row r="134" spans="2:16">
      <c r="B134" s="160" t="str">
        <f t="shared" si="23"/>
        <v/>
      </c>
      <c r="C134" s="470">
        <f>IF(D93="","-",+C133+1)</f>
        <v>2053</v>
      </c>
      <c r="D134" s="345">
        <f>IF(F133+SUM(E$99:E133)=D$92,F133,D$92-SUM(E$99:E133))</f>
        <v>38801</v>
      </c>
      <c r="E134" s="482">
        <f t="shared" si="27"/>
        <v>5951</v>
      </c>
      <c r="F134" s="483">
        <f t="shared" si="28"/>
        <v>32850</v>
      </c>
      <c r="G134" s="483">
        <f t="shared" si="29"/>
        <v>35825.5</v>
      </c>
      <c r="H134" s="611">
        <f t="shared" si="30"/>
        <v>10027.683706748707</v>
      </c>
      <c r="I134" s="612">
        <f t="shared" si="31"/>
        <v>10027.683706748707</v>
      </c>
      <c r="J134" s="476">
        <f t="shared" si="32"/>
        <v>0</v>
      </c>
      <c r="K134" s="476"/>
      <c r="L134" s="485"/>
      <c r="M134" s="476">
        <f t="shared" si="33"/>
        <v>0</v>
      </c>
      <c r="N134" s="485"/>
      <c r="O134" s="476">
        <f t="shared" si="34"/>
        <v>0</v>
      </c>
      <c r="P134" s="476">
        <f t="shared" si="35"/>
        <v>0</v>
      </c>
    </row>
    <row r="135" spans="2:16">
      <c r="B135" s="160" t="str">
        <f t="shared" si="23"/>
        <v/>
      </c>
      <c r="C135" s="470">
        <f>IF(D93="","-",+C134+1)</f>
        <v>2054</v>
      </c>
      <c r="D135" s="345">
        <f>IF(F134+SUM(E$99:E134)=D$92,F134,D$92-SUM(E$99:E134))</f>
        <v>32850</v>
      </c>
      <c r="E135" s="482">
        <f t="shared" si="27"/>
        <v>5951</v>
      </c>
      <c r="F135" s="483">
        <f t="shared" si="28"/>
        <v>26899</v>
      </c>
      <c r="G135" s="483">
        <f t="shared" si="29"/>
        <v>29874.5</v>
      </c>
      <c r="H135" s="611">
        <f t="shared" si="30"/>
        <v>9350.5027954184661</v>
      </c>
      <c r="I135" s="612">
        <f t="shared" si="31"/>
        <v>9350.5027954184661</v>
      </c>
      <c r="J135" s="476">
        <f t="shared" si="32"/>
        <v>0</v>
      </c>
      <c r="K135" s="476"/>
      <c r="L135" s="485"/>
      <c r="M135" s="476">
        <f t="shared" si="33"/>
        <v>0</v>
      </c>
      <c r="N135" s="485"/>
      <c r="O135" s="476">
        <f t="shared" si="34"/>
        <v>0</v>
      </c>
      <c r="P135" s="476">
        <f t="shared" si="35"/>
        <v>0</v>
      </c>
    </row>
    <row r="136" spans="2:16">
      <c r="B136" s="160" t="str">
        <f t="shared" si="23"/>
        <v/>
      </c>
      <c r="C136" s="470">
        <f>IF(D93="","-",+C135+1)</f>
        <v>2055</v>
      </c>
      <c r="D136" s="345">
        <f>IF(F135+SUM(E$99:E135)=D$92,F135,D$92-SUM(E$99:E135))</f>
        <v>26899</v>
      </c>
      <c r="E136" s="482">
        <f t="shared" si="27"/>
        <v>5951</v>
      </c>
      <c r="F136" s="483">
        <f t="shared" si="28"/>
        <v>20948</v>
      </c>
      <c r="G136" s="483">
        <f t="shared" si="29"/>
        <v>23923.5</v>
      </c>
      <c r="H136" s="611">
        <f t="shared" si="30"/>
        <v>8673.3218840882255</v>
      </c>
      <c r="I136" s="612">
        <f t="shared" si="31"/>
        <v>8673.3218840882255</v>
      </c>
      <c r="J136" s="476">
        <f t="shared" si="32"/>
        <v>0</v>
      </c>
      <c r="K136" s="476"/>
      <c r="L136" s="485"/>
      <c r="M136" s="476">
        <f t="shared" si="33"/>
        <v>0</v>
      </c>
      <c r="N136" s="485"/>
      <c r="O136" s="476">
        <f t="shared" si="34"/>
        <v>0</v>
      </c>
      <c r="P136" s="476">
        <f t="shared" si="35"/>
        <v>0</v>
      </c>
    </row>
    <row r="137" spans="2:16">
      <c r="B137" s="160" t="str">
        <f t="shared" si="23"/>
        <v/>
      </c>
      <c r="C137" s="470">
        <f>IF(D93="","-",+C136+1)</f>
        <v>2056</v>
      </c>
      <c r="D137" s="345">
        <f>IF(F136+SUM(E$99:E136)=D$92,F136,D$92-SUM(E$99:E136))</f>
        <v>20948</v>
      </c>
      <c r="E137" s="482">
        <f t="shared" si="27"/>
        <v>5951</v>
      </c>
      <c r="F137" s="483">
        <f t="shared" si="28"/>
        <v>14997</v>
      </c>
      <c r="G137" s="483">
        <f t="shared" si="29"/>
        <v>17972.5</v>
      </c>
      <c r="H137" s="611">
        <f t="shared" si="30"/>
        <v>7996.140972757983</v>
      </c>
      <c r="I137" s="612">
        <f t="shared" si="31"/>
        <v>7996.140972757983</v>
      </c>
      <c r="J137" s="476">
        <f t="shared" si="32"/>
        <v>0</v>
      </c>
      <c r="K137" s="476"/>
      <c r="L137" s="485"/>
      <c r="M137" s="476">
        <f t="shared" si="33"/>
        <v>0</v>
      </c>
      <c r="N137" s="485"/>
      <c r="O137" s="476">
        <f t="shared" si="34"/>
        <v>0</v>
      </c>
      <c r="P137" s="476">
        <f t="shared" si="35"/>
        <v>0</v>
      </c>
    </row>
    <row r="138" spans="2:16">
      <c r="B138" s="160" t="str">
        <f t="shared" si="23"/>
        <v/>
      </c>
      <c r="C138" s="470">
        <f>IF(D93="","-",+C137+1)</f>
        <v>2057</v>
      </c>
      <c r="D138" s="345">
        <f>IF(F137+SUM(E$99:E137)=D$92,F137,D$92-SUM(E$99:E137))</f>
        <v>14997</v>
      </c>
      <c r="E138" s="482">
        <f t="shared" si="27"/>
        <v>5951</v>
      </c>
      <c r="F138" s="483">
        <f t="shared" si="28"/>
        <v>9046</v>
      </c>
      <c r="G138" s="483">
        <f t="shared" si="29"/>
        <v>12021.5</v>
      </c>
      <c r="H138" s="611">
        <f t="shared" si="30"/>
        <v>7318.9600614277424</v>
      </c>
      <c r="I138" s="612">
        <f t="shared" si="31"/>
        <v>7318.9600614277424</v>
      </c>
      <c r="J138" s="476">
        <f t="shared" si="32"/>
        <v>0</v>
      </c>
      <c r="K138" s="476"/>
      <c r="L138" s="485"/>
      <c r="M138" s="476">
        <f t="shared" si="33"/>
        <v>0</v>
      </c>
      <c r="N138" s="485"/>
      <c r="O138" s="476">
        <f t="shared" si="34"/>
        <v>0</v>
      </c>
      <c r="P138" s="476">
        <f t="shared" si="35"/>
        <v>0</v>
      </c>
    </row>
    <row r="139" spans="2:16">
      <c r="B139" s="160" t="str">
        <f t="shared" si="23"/>
        <v/>
      </c>
      <c r="C139" s="470">
        <f>IF(D93="","-",+C138+1)</f>
        <v>2058</v>
      </c>
      <c r="D139" s="345">
        <f>IF(F138+SUM(E$99:E138)=D$92,F138,D$92-SUM(E$99:E138))</f>
        <v>9046</v>
      </c>
      <c r="E139" s="482">
        <f t="shared" si="27"/>
        <v>5951</v>
      </c>
      <c r="F139" s="483">
        <f t="shared" si="28"/>
        <v>3095</v>
      </c>
      <c r="G139" s="483">
        <f t="shared" si="29"/>
        <v>6070.5</v>
      </c>
      <c r="H139" s="611">
        <f t="shared" si="30"/>
        <v>6641.7791500975009</v>
      </c>
      <c r="I139" s="612">
        <f t="shared" si="31"/>
        <v>6641.7791500975009</v>
      </c>
      <c r="J139" s="476">
        <f t="shared" si="32"/>
        <v>0</v>
      </c>
      <c r="K139" s="476"/>
      <c r="L139" s="485"/>
      <c r="M139" s="476">
        <f t="shared" si="33"/>
        <v>0</v>
      </c>
      <c r="N139" s="485"/>
      <c r="O139" s="476">
        <f t="shared" si="34"/>
        <v>0</v>
      </c>
      <c r="P139" s="476">
        <f t="shared" si="35"/>
        <v>0</v>
      </c>
    </row>
    <row r="140" spans="2:16">
      <c r="B140" s="160" t="str">
        <f t="shared" si="23"/>
        <v/>
      </c>
      <c r="C140" s="470">
        <f>IF(D93="","-",+C139+1)</f>
        <v>2059</v>
      </c>
      <c r="D140" s="345">
        <f>IF(F139+SUM(E$99:E139)=D$92,F139,D$92-SUM(E$99:E139))</f>
        <v>3095</v>
      </c>
      <c r="E140" s="482">
        <f t="shared" si="27"/>
        <v>3095</v>
      </c>
      <c r="F140" s="483">
        <f t="shared" si="28"/>
        <v>0</v>
      </c>
      <c r="G140" s="483">
        <f t="shared" si="29"/>
        <v>1547.5</v>
      </c>
      <c r="H140" s="611">
        <f t="shared" si="30"/>
        <v>3271.0943472161903</v>
      </c>
      <c r="I140" s="612">
        <f t="shared" si="31"/>
        <v>3271.0943472161903</v>
      </c>
      <c r="J140" s="476">
        <f t="shared" si="32"/>
        <v>0</v>
      </c>
      <c r="K140" s="476"/>
      <c r="L140" s="485"/>
      <c r="M140" s="476">
        <f t="shared" si="33"/>
        <v>0</v>
      </c>
      <c r="N140" s="485"/>
      <c r="O140" s="476">
        <f t="shared" si="34"/>
        <v>0</v>
      </c>
      <c r="P140" s="476">
        <f t="shared" si="35"/>
        <v>0</v>
      </c>
    </row>
    <row r="141" spans="2:16">
      <c r="B141" s="160" t="str">
        <f t="shared" si="23"/>
        <v/>
      </c>
      <c r="C141" s="470">
        <f>IF(D93="","-",+C140+1)</f>
        <v>2060</v>
      </c>
      <c r="D141" s="345">
        <f>IF(F140+SUM(E$99:E140)=D$92,F140,D$92-SUM(E$99:E140))</f>
        <v>0</v>
      </c>
      <c r="E141" s="482">
        <f t="shared" si="27"/>
        <v>0</v>
      </c>
      <c r="F141" s="483">
        <f t="shared" si="28"/>
        <v>0</v>
      </c>
      <c r="G141" s="483">
        <f t="shared" si="29"/>
        <v>0</v>
      </c>
      <c r="H141" s="611">
        <f t="shared" si="30"/>
        <v>0</v>
      </c>
      <c r="I141" s="612">
        <f t="shared" si="31"/>
        <v>0</v>
      </c>
      <c r="J141" s="476">
        <f t="shared" si="32"/>
        <v>0</v>
      </c>
      <c r="K141" s="476"/>
      <c r="L141" s="485"/>
      <c r="M141" s="476">
        <f t="shared" si="33"/>
        <v>0</v>
      </c>
      <c r="N141" s="485"/>
      <c r="O141" s="476">
        <f t="shared" si="34"/>
        <v>0</v>
      </c>
      <c r="P141" s="476">
        <f t="shared" si="35"/>
        <v>0</v>
      </c>
    </row>
    <row r="142" spans="2:16">
      <c r="B142" s="160" t="str">
        <f t="shared" si="23"/>
        <v/>
      </c>
      <c r="C142" s="470">
        <f>IF(D93="","-",+C141+1)</f>
        <v>2061</v>
      </c>
      <c r="D142" s="345">
        <f>IF(F141+SUM(E$99:E141)=D$92,F141,D$92-SUM(E$99:E141))</f>
        <v>0</v>
      </c>
      <c r="E142" s="482">
        <f t="shared" si="27"/>
        <v>0</v>
      </c>
      <c r="F142" s="483">
        <f t="shared" si="28"/>
        <v>0</v>
      </c>
      <c r="G142" s="483">
        <f t="shared" si="29"/>
        <v>0</v>
      </c>
      <c r="H142" s="611">
        <f t="shared" si="30"/>
        <v>0</v>
      </c>
      <c r="I142" s="612">
        <f t="shared" si="31"/>
        <v>0</v>
      </c>
      <c r="J142" s="476">
        <f t="shared" si="32"/>
        <v>0</v>
      </c>
      <c r="K142" s="476"/>
      <c r="L142" s="485"/>
      <c r="M142" s="476">
        <f t="shared" si="33"/>
        <v>0</v>
      </c>
      <c r="N142" s="485"/>
      <c r="O142" s="476">
        <f t="shared" si="34"/>
        <v>0</v>
      </c>
      <c r="P142" s="476">
        <f t="shared" si="35"/>
        <v>0</v>
      </c>
    </row>
    <row r="143" spans="2:16">
      <c r="B143" s="160" t="str">
        <f t="shared" si="23"/>
        <v/>
      </c>
      <c r="C143" s="470">
        <f>IF(D93="","-",+C142+1)</f>
        <v>2062</v>
      </c>
      <c r="D143" s="345">
        <f>IF(F142+SUM(E$99:E142)=D$92,F142,D$92-SUM(E$99:E142))</f>
        <v>0</v>
      </c>
      <c r="E143" s="482">
        <f t="shared" si="27"/>
        <v>0</v>
      </c>
      <c r="F143" s="483">
        <f t="shared" si="28"/>
        <v>0</v>
      </c>
      <c r="G143" s="483">
        <f t="shared" si="29"/>
        <v>0</v>
      </c>
      <c r="H143" s="611">
        <f t="shared" si="30"/>
        <v>0</v>
      </c>
      <c r="I143" s="612">
        <f t="shared" si="31"/>
        <v>0</v>
      </c>
      <c r="J143" s="476">
        <f t="shared" si="32"/>
        <v>0</v>
      </c>
      <c r="K143" s="476"/>
      <c r="L143" s="485"/>
      <c r="M143" s="476">
        <f t="shared" si="33"/>
        <v>0</v>
      </c>
      <c r="N143" s="485"/>
      <c r="O143" s="476">
        <f t="shared" si="34"/>
        <v>0</v>
      </c>
      <c r="P143" s="476">
        <f t="shared" si="35"/>
        <v>0</v>
      </c>
    </row>
    <row r="144" spans="2:16">
      <c r="B144" s="160" t="str">
        <f t="shared" si="23"/>
        <v/>
      </c>
      <c r="C144" s="470">
        <f>IF(D93="","-",+C143+1)</f>
        <v>2063</v>
      </c>
      <c r="D144" s="345">
        <f>IF(F143+SUM(E$99:E143)=D$92,F143,D$92-SUM(E$99:E143))</f>
        <v>0</v>
      </c>
      <c r="E144" s="482">
        <f t="shared" si="27"/>
        <v>0</v>
      </c>
      <c r="F144" s="483">
        <f t="shared" si="28"/>
        <v>0</v>
      </c>
      <c r="G144" s="483">
        <f t="shared" si="29"/>
        <v>0</v>
      </c>
      <c r="H144" s="611">
        <f t="shared" si="30"/>
        <v>0</v>
      </c>
      <c r="I144" s="612">
        <f t="shared" si="31"/>
        <v>0</v>
      </c>
      <c r="J144" s="476">
        <f t="shared" si="32"/>
        <v>0</v>
      </c>
      <c r="K144" s="476"/>
      <c r="L144" s="485"/>
      <c r="M144" s="476">
        <f t="shared" si="33"/>
        <v>0</v>
      </c>
      <c r="N144" s="485"/>
      <c r="O144" s="476">
        <f t="shared" si="34"/>
        <v>0</v>
      </c>
      <c r="P144" s="476">
        <f t="shared" si="35"/>
        <v>0</v>
      </c>
    </row>
    <row r="145" spans="2:16">
      <c r="B145" s="160" t="str">
        <f t="shared" si="23"/>
        <v/>
      </c>
      <c r="C145" s="470">
        <f>IF(D93="","-",+C144+1)</f>
        <v>2064</v>
      </c>
      <c r="D145" s="345">
        <f>IF(F144+SUM(E$99:E144)=D$92,F144,D$92-SUM(E$99:E144))</f>
        <v>0</v>
      </c>
      <c r="E145" s="482">
        <f t="shared" si="27"/>
        <v>0</v>
      </c>
      <c r="F145" s="483">
        <f t="shared" si="28"/>
        <v>0</v>
      </c>
      <c r="G145" s="483">
        <f t="shared" si="29"/>
        <v>0</v>
      </c>
      <c r="H145" s="611">
        <f t="shared" si="30"/>
        <v>0</v>
      </c>
      <c r="I145" s="612">
        <f t="shared" si="31"/>
        <v>0</v>
      </c>
      <c r="J145" s="476">
        <f t="shared" si="32"/>
        <v>0</v>
      </c>
      <c r="K145" s="476"/>
      <c r="L145" s="485"/>
      <c r="M145" s="476">
        <f t="shared" si="33"/>
        <v>0</v>
      </c>
      <c r="N145" s="485"/>
      <c r="O145" s="476">
        <f t="shared" si="34"/>
        <v>0</v>
      </c>
      <c r="P145" s="476">
        <f t="shared" si="35"/>
        <v>0</v>
      </c>
    </row>
    <row r="146" spans="2:16">
      <c r="B146" s="160" t="str">
        <f t="shared" si="23"/>
        <v/>
      </c>
      <c r="C146" s="470">
        <f>IF(D93="","-",+C145+1)</f>
        <v>2065</v>
      </c>
      <c r="D146" s="345">
        <f>IF(F145+SUM(E$99:E145)=D$92,F145,D$92-SUM(E$99:E145))</f>
        <v>0</v>
      </c>
      <c r="E146" s="482">
        <f t="shared" si="27"/>
        <v>0</v>
      </c>
      <c r="F146" s="483">
        <f t="shared" si="28"/>
        <v>0</v>
      </c>
      <c r="G146" s="483">
        <f t="shared" si="29"/>
        <v>0</v>
      </c>
      <c r="H146" s="611">
        <f t="shared" si="30"/>
        <v>0</v>
      </c>
      <c r="I146" s="612">
        <f t="shared" si="31"/>
        <v>0</v>
      </c>
      <c r="J146" s="476">
        <f t="shared" si="32"/>
        <v>0</v>
      </c>
      <c r="K146" s="476"/>
      <c r="L146" s="485"/>
      <c r="M146" s="476">
        <f t="shared" si="33"/>
        <v>0</v>
      </c>
      <c r="N146" s="485"/>
      <c r="O146" s="476">
        <f t="shared" si="34"/>
        <v>0</v>
      </c>
      <c r="P146" s="476">
        <f t="shared" si="35"/>
        <v>0</v>
      </c>
    </row>
    <row r="147" spans="2:16">
      <c r="B147" s="160" t="str">
        <f t="shared" si="23"/>
        <v/>
      </c>
      <c r="C147" s="470">
        <f>IF(D93="","-",+C146+1)</f>
        <v>2066</v>
      </c>
      <c r="D147" s="345">
        <f>IF(F146+SUM(E$99:E146)=D$92,F146,D$92-SUM(E$99:E146))</f>
        <v>0</v>
      </c>
      <c r="E147" s="482">
        <f t="shared" si="27"/>
        <v>0</v>
      </c>
      <c r="F147" s="483">
        <f t="shared" si="28"/>
        <v>0</v>
      </c>
      <c r="G147" s="483">
        <f t="shared" si="29"/>
        <v>0</v>
      </c>
      <c r="H147" s="611">
        <f t="shared" si="30"/>
        <v>0</v>
      </c>
      <c r="I147" s="612">
        <f t="shared" si="31"/>
        <v>0</v>
      </c>
      <c r="J147" s="476">
        <f t="shared" si="32"/>
        <v>0</v>
      </c>
      <c r="K147" s="476"/>
      <c r="L147" s="485"/>
      <c r="M147" s="476">
        <f t="shared" si="33"/>
        <v>0</v>
      </c>
      <c r="N147" s="485"/>
      <c r="O147" s="476">
        <f t="shared" si="34"/>
        <v>0</v>
      </c>
      <c r="P147" s="476">
        <f t="shared" si="35"/>
        <v>0</v>
      </c>
    </row>
    <row r="148" spans="2:16">
      <c r="B148" s="160" t="str">
        <f t="shared" si="23"/>
        <v/>
      </c>
      <c r="C148" s="470">
        <f>IF(D93="","-",+C147+1)</f>
        <v>2067</v>
      </c>
      <c r="D148" s="345">
        <f>IF(F147+SUM(E$99:E147)=D$92,F147,D$92-SUM(E$99:E147))</f>
        <v>0</v>
      </c>
      <c r="E148" s="482">
        <f t="shared" si="27"/>
        <v>0</v>
      </c>
      <c r="F148" s="483">
        <f t="shared" si="28"/>
        <v>0</v>
      </c>
      <c r="G148" s="483">
        <f t="shared" si="29"/>
        <v>0</v>
      </c>
      <c r="H148" s="611">
        <f t="shared" si="30"/>
        <v>0</v>
      </c>
      <c r="I148" s="612">
        <f t="shared" si="31"/>
        <v>0</v>
      </c>
      <c r="J148" s="476">
        <f t="shared" si="32"/>
        <v>0</v>
      </c>
      <c r="K148" s="476"/>
      <c r="L148" s="485"/>
      <c r="M148" s="476">
        <f t="shared" si="33"/>
        <v>0</v>
      </c>
      <c r="N148" s="485"/>
      <c r="O148" s="476">
        <f t="shared" si="34"/>
        <v>0</v>
      </c>
      <c r="P148" s="476">
        <f t="shared" si="35"/>
        <v>0</v>
      </c>
    </row>
    <row r="149" spans="2:16">
      <c r="B149" s="160" t="str">
        <f t="shared" si="23"/>
        <v/>
      </c>
      <c r="C149" s="470">
        <f>IF(D93="","-",+C148+1)</f>
        <v>2068</v>
      </c>
      <c r="D149" s="345">
        <f>IF(F148+SUM(E$99:E148)=D$92,F148,D$92-SUM(E$99:E148))</f>
        <v>0</v>
      </c>
      <c r="E149" s="482">
        <f t="shared" si="27"/>
        <v>0</v>
      </c>
      <c r="F149" s="483">
        <f t="shared" si="28"/>
        <v>0</v>
      </c>
      <c r="G149" s="483">
        <f t="shared" si="29"/>
        <v>0</v>
      </c>
      <c r="H149" s="611">
        <f t="shared" si="30"/>
        <v>0</v>
      </c>
      <c r="I149" s="612">
        <f t="shared" si="31"/>
        <v>0</v>
      </c>
      <c r="J149" s="476">
        <f t="shared" si="32"/>
        <v>0</v>
      </c>
      <c r="K149" s="476"/>
      <c r="L149" s="485"/>
      <c r="M149" s="476">
        <f t="shared" si="33"/>
        <v>0</v>
      </c>
      <c r="N149" s="485"/>
      <c r="O149" s="476">
        <f t="shared" si="34"/>
        <v>0</v>
      </c>
      <c r="P149" s="476">
        <f t="shared" si="35"/>
        <v>0</v>
      </c>
    </row>
    <row r="150" spans="2:16">
      <c r="B150" s="160" t="str">
        <f t="shared" si="23"/>
        <v/>
      </c>
      <c r="C150" s="470">
        <f>IF(D93="","-",+C149+1)</f>
        <v>2069</v>
      </c>
      <c r="D150" s="345">
        <f>IF(F149+SUM(E$99:E149)=D$92,F149,D$92-SUM(E$99:E149))</f>
        <v>0</v>
      </c>
      <c r="E150" s="482">
        <f t="shared" si="27"/>
        <v>0</v>
      </c>
      <c r="F150" s="483">
        <f t="shared" si="28"/>
        <v>0</v>
      </c>
      <c r="G150" s="483">
        <f t="shared" si="29"/>
        <v>0</v>
      </c>
      <c r="H150" s="611">
        <f t="shared" si="30"/>
        <v>0</v>
      </c>
      <c r="I150" s="612">
        <f t="shared" si="31"/>
        <v>0</v>
      </c>
      <c r="J150" s="476">
        <f t="shared" si="32"/>
        <v>0</v>
      </c>
      <c r="K150" s="476"/>
      <c r="L150" s="485"/>
      <c r="M150" s="476">
        <f t="shared" si="33"/>
        <v>0</v>
      </c>
      <c r="N150" s="485"/>
      <c r="O150" s="476">
        <f t="shared" si="34"/>
        <v>0</v>
      </c>
      <c r="P150" s="476">
        <f t="shared" si="35"/>
        <v>0</v>
      </c>
    </row>
    <row r="151" spans="2:16">
      <c r="B151" s="160" t="str">
        <f t="shared" si="23"/>
        <v/>
      </c>
      <c r="C151" s="470">
        <f>IF(D93="","-",+C150+1)</f>
        <v>2070</v>
      </c>
      <c r="D151" s="345">
        <f>IF(F150+SUM(E$99:E150)=D$92,F150,D$92-SUM(E$99:E150))</f>
        <v>0</v>
      </c>
      <c r="E151" s="482">
        <f t="shared" si="27"/>
        <v>0</v>
      </c>
      <c r="F151" s="483">
        <f t="shared" si="28"/>
        <v>0</v>
      </c>
      <c r="G151" s="483">
        <f t="shared" si="29"/>
        <v>0</v>
      </c>
      <c r="H151" s="611">
        <f t="shared" si="30"/>
        <v>0</v>
      </c>
      <c r="I151" s="612">
        <f t="shared" si="31"/>
        <v>0</v>
      </c>
      <c r="J151" s="476">
        <f t="shared" si="32"/>
        <v>0</v>
      </c>
      <c r="K151" s="476"/>
      <c r="L151" s="485"/>
      <c r="M151" s="476">
        <f t="shared" si="33"/>
        <v>0</v>
      </c>
      <c r="N151" s="485"/>
      <c r="O151" s="476">
        <f t="shared" si="34"/>
        <v>0</v>
      </c>
      <c r="P151" s="476">
        <f t="shared" si="35"/>
        <v>0</v>
      </c>
    </row>
    <row r="152" spans="2:16">
      <c r="B152" s="160" t="str">
        <f t="shared" si="23"/>
        <v/>
      </c>
      <c r="C152" s="470">
        <f>IF(D93="","-",+C151+1)</f>
        <v>2071</v>
      </c>
      <c r="D152" s="345">
        <f>IF(F151+SUM(E$99:E151)=D$92,F151,D$92-SUM(E$99:E151))</f>
        <v>0</v>
      </c>
      <c r="E152" s="482">
        <f t="shared" si="27"/>
        <v>0</v>
      </c>
      <c r="F152" s="483">
        <f t="shared" si="28"/>
        <v>0</v>
      </c>
      <c r="G152" s="483">
        <f t="shared" si="29"/>
        <v>0</v>
      </c>
      <c r="H152" s="611">
        <f t="shared" si="30"/>
        <v>0</v>
      </c>
      <c r="I152" s="612">
        <f t="shared" si="31"/>
        <v>0</v>
      </c>
      <c r="J152" s="476">
        <f t="shared" si="32"/>
        <v>0</v>
      </c>
      <c r="K152" s="476"/>
      <c r="L152" s="485"/>
      <c r="M152" s="476">
        <f t="shared" si="33"/>
        <v>0</v>
      </c>
      <c r="N152" s="485"/>
      <c r="O152" s="476">
        <f t="shared" si="34"/>
        <v>0</v>
      </c>
      <c r="P152" s="476">
        <f t="shared" si="35"/>
        <v>0</v>
      </c>
    </row>
    <row r="153" spans="2:16">
      <c r="B153" s="160" t="str">
        <f t="shared" si="23"/>
        <v/>
      </c>
      <c r="C153" s="470">
        <f>IF(D93="","-",+C152+1)</f>
        <v>2072</v>
      </c>
      <c r="D153" s="345">
        <f>IF(F152+SUM(E$99:E152)=D$92,F152,D$92-SUM(E$99:E152))</f>
        <v>0</v>
      </c>
      <c r="E153" s="482">
        <f t="shared" si="27"/>
        <v>0</v>
      </c>
      <c r="F153" s="483">
        <f t="shared" si="28"/>
        <v>0</v>
      </c>
      <c r="G153" s="483">
        <f t="shared" si="29"/>
        <v>0</v>
      </c>
      <c r="H153" s="611">
        <f t="shared" si="30"/>
        <v>0</v>
      </c>
      <c r="I153" s="612">
        <f t="shared" si="31"/>
        <v>0</v>
      </c>
      <c r="J153" s="476">
        <f t="shared" si="32"/>
        <v>0</v>
      </c>
      <c r="K153" s="476"/>
      <c r="L153" s="485"/>
      <c r="M153" s="476">
        <f t="shared" si="33"/>
        <v>0</v>
      </c>
      <c r="N153" s="485"/>
      <c r="O153" s="476">
        <f t="shared" si="34"/>
        <v>0</v>
      </c>
      <c r="P153" s="476">
        <f t="shared" si="35"/>
        <v>0</v>
      </c>
    </row>
    <row r="154" spans="2:16" ht="13.5" thickBot="1">
      <c r="B154" s="160" t="str">
        <f t="shared" si="23"/>
        <v/>
      </c>
      <c r="C154" s="487">
        <f>IF(D93="","-",+C153+1)</f>
        <v>2073</v>
      </c>
      <c r="D154" s="489">
        <f>IF(F153+SUM(E$99:E153)=D$92,F153,D$92-SUM(E$99:E153))</f>
        <v>0</v>
      </c>
      <c r="E154" s="489">
        <f t="shared" si="27"/>
        <v>0</v>
      </c>
      <c r="F154" s="488">
        <f t="shared" si="28"/>
        <v>0</v>
      </c>
      <c r="G154" s="488">
        <f t="shared" si="29"/>
        <v>0</v>
      </c>
      <c r="H154" s="613">
        <f t="shared" si="30"/>
        <v>0</v>
      </c>
      <c r="I154" s="614">
        <f t="shared" si="31"/>
        <v>0</v>
      </c>
      <c r="J154" s="493">
        <f t="shared" si="32"/>
        <v>0</v>
      </c>
      <c r="K154" s="476"/>
      <c r="L154" s="492"/>
      <c r="M154" s="493">
        <f t="shared" si="33"/>
        <v>0</v>
      </c>
      <c r="N154" s="492"/>
      <c r="O154" s="493">
        <f t="shared" si="34"/>
        <v>0</v>
      </c>
      <c r="P154" s="493">
        <f t="shared" si="35"/>
        <v>0</v>
      </c>
    </row>
    <row r="155" spans="2:16">
      <c r="C155" s="345" t="s">
        <v>77</v>
      </c>
      <c r="D155" s="346"/>
      <c r="E155" s="346">
        <f>SUM(E99:E154)</f>
        <v>244000</v>
      </c>
      <c r="F155" s="346"/>
      <c r="G155" s="346"/>
      <c r="H155" s="346">
        <f>SUM(H99:H154)</f>
        <v>809480.73450631718</v>
      </c>
      <c r="I155" s="346">
        <f>SUM(I99:I154)</f>
        <v>809480.73450631718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25" priority="1" stopIfTrue="1" operator="equal">
      <formula>$I$10</formula>
    </cfRule>
  </conditionalFormatting>
  <conditionalFormatting sqref="C99:C154">
    <cfRule type="cellIs" dxfId="24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162"/>
  <sheetViews>
    <sheetView topLeftCell="A88" zoomScale="80" zoomScaleNormal="80" workbookViewId="0">
      <selection activeCell="D99" sqref="D99:I10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23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140547.01323868823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140547.01323868823</v>
      </c>
      <c r="O6" s="231"/>
      <c r="P6" s="231"/>
    </row>
    <row r="7" spans="1:16" ht="13.5" thickBot="1">
      <c r="C7" s="429" t="s">
        <v>46</v>
      </c>
      <c r="D7" s="597" t="s">
        <v>303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304</v>
      </c>
      <c r="E9" s="575" t="s">
        <v>305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1165593.0099999998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2018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5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30673.50026315789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2018</v>
      </c>
      <c r="D17" s="582">
        <v>0</v>
      </c>
      <c r="E17" s="606">
        <v>19755.555555555555</v>
      </c>
      <c r="F17" s="582">
        <v>1758244.4444444445</v>
      </c>
      <c r="G17" s="606">
        <v>125038.30164155026</v>
      </c>
      <c r="H17" s="585">
        <v>125038.30164155026</v>
      </c>
      <c r="I17" s="473">
        <f>H17-G17</f>
        <v>0</v>
      </c>
      <c r="J17" s="473"/>
      <c r="K17" s="552">
        <f t="shared" ref="K17:K22" si="0">+G17</f>
        <v>125038.30164155026</v>
      </c>
      <c r="L17" s="475">
        <f t="shared" ref="L17:L72" si="1">IF(K17&lt;&gt;0,+G17-K17,0)</f>
        <v>0</v>
      </c>
      <c r="M17" s="552">
        <f t="shared" ref="M17:M22" si="2">+H17</f>
        <v>125038.30164155026</v>
      </c>
      <c r="N17" s="475">
        <f t="shared" ref="N17:N72" si="3">IF(M17&lt;&gt;0,+H17-M17,0)</f>
        <v>0</v>
      </c>
      <c r="O17" s="476">
        <f t="shared" ref="O17:O72" si="4">+N17-L17</f>
        <v>0</v>
      </c>
      <c r="P17" s="241"/>
    </row>
    <row r="18" spans="2:16">
      <c r="B18" s="160" t="str">
        <f>IF(D18=F17,"","IU")</f>
        <v>IU</v>
      </c>
      <c r="C18" s="470">
        <f>IF(D11="","-",+C17+1)</f>
        <v>2019</v>
      </c>
      <c r="D18" s="582">
        <v>2017244.4444444445</v>
      </c>
      <c r="E18" s="583">
        <v>50925</v>
      </c>
      <c r="F18" s="582">
        <v>1966319.4444444445</v>
      </c>
      <c r="G18" s="583">
        <v>273320.66219595348</v>
      </c>
      <c r="H18" s="585">
        <v>273320.66219595348</v>
      </c>
      <c r="I18" s="473">
        <f>H18-G18</f>
        <v>0</v>
      </c>
      <c r="J18" s="473"/>
      <c r="K18" s="476">
        <f t="shared" si="0"/>
        <v>273320.66219595348</v>
      </c>
      <c r="L18" s="476">
        <f t="shared" si="1"/>
        <v>0</v>
      </c>
      <c r="M18" s="476">
        <f t="shared" si="2"/>
        <v>273320.66219595348</v>
      </c>
      <c r="N18" s="476">
        <f t="shared" si="3"/>
        <v>0</v>
      </c>
      <c r="O18" s="476">
        <f t="shared" si="4"/>
        <v>0</v>
      </c>
      <c r="P18" s="241"/>
    </row>
    <row r="19" spans="2:16">
      <c r="B19" s="160" t="str">
        <f>IF(D19=F18,"","IU")</f>
        <v>IU</v>
      </c>
      <c r="C19" s="470">
        <f>IF(D11="","-",+C18+1)</f>
        <v>2020</v>
      </c>
      <c r="D19" s="582">
        <v>1141057.3333333333</v>
      </c>
      <c r="E19" s="583">
        <v>28579.142857142859</v>
      </c>
      <c r="F19" s="582">
        <v>1112478.1904761903</v>
      </c>
      <c r="G19" s="583">
        <v>150275.44361099388</v>
      </c>
      <c r="H19" s="585">
        <v>150275.44361099388</v>
      </c>
      <c r="I19" s="473">
        <f t="shared" ref="I19:I71" si="5">H19-G19</f>
        <v>0</v>
      </c>
      <c r="J19" s="473"/>
      <c r="K19" s="476">
        <f t="shared" si="0"/>
        <v>150275.44361099388</v>
      </c>
      <c r="L19" s="476">
        <f t="shared" ref="L19" si="6">IF(K19&lt;&gt;0,+G19-K19,0)</f>
        <v>0</v>
      </c>
      <c r="M19" s="476">
        <f t="shared" si="2"/>
        <v>150275.44361099388</v>
      </c>
      <c r="N19" s="476">
        <f t="shared" si="3"/>
        <v>0</v>
      </c>
      <c r="O19" s="476">
        <f t="shared" si="4"/>
        <v>0</v>
      </c>
      <c r="P19" s="241"/>
    </row>
    <row r="20" spans="2:16">
      <c r="B20" s="160" t="str">
        <f t="shared" ref="B20:B72" si="7">IF(D20=F19,"","IU")</f>
        <v>IU</v>
      </c>
      <c r="C20" s="470">
        <f>IF(D11="","-",+C19+1)</f>
        <v>2021</v>
      </c>
      <c r="D20" s="582">
        <v>1076920.3015873015</v>
      </c>
      <c r="E20" s="583">
        <v>27353.023255813954</v>
      </c>
      <c r="F20" s="582">
        <v>1049567.2783314877</v>
      </c>
      <c r="G20" s="583">
        <v>141993.72505975311</v>
      </c>
      <c r="H20" s="585">
        <v>141993.72505975311</v>
      </c>
      <c r="I20" s="473">
        <f t="shared" si="5"/>
        <v>0</v>
      </c>
      <c r="J20" s="473"/>
      <c r="K20" s="476">
        <f t="shared" si="0"/>
        <v>141993.72505975311</v>
      </c>
      <c r="L20" s="476">
        <f t="shared" ref="L20" si="8">IF(K20&lt;&gt;0,+G20-K20,0)</f>
        <v>0</v>
      </c>
      <c r="M20" s="476">
        <f t="shared" si="2"/>
        <v>141993.72505975311</v>
      </c>
      <c r="N20" s="476">
        <f t="shared" si="3"/>
        <v>0</v>
      </c>
      <c r="O20" s="476">
        <f t="shared" si="4"/>
        <v>0</v>
      </c>
      <c r="P20" s="241"/>
    </row>
    <row r="21" spans="2:16">
      <c r="B21" s="160" t="str">
        <f t="shared" si="7"/>
        <v>IU</v>
      </c>
      <c r="C21" s="470">
        <f>IF(D11="","-",+C20+1)</f>
        <v>2022</v>
      </c>
      <c r="D21" s="582">
        <v>1038980.2783314877</v>
      </c>
      <c r="E21" s="583">
        <v>27752.214285714286</v>
      </c>
      <c r="F21" s="582">
        <v>1011228.0640457734</v>
      </c>
      <c r="G21" s="583">
        <v>138269.97206377087</v>
      </c>
      <c r="H21" s="585">
        <v>138269.97206377087</v>
      </c>
      <c r="I21" s="473">
        <f t="shared" si="5"/>
        <v>0</v>
      </c>
      <c r="J21" s="473"/>
      <c r="K21" s="476">
        <f t="shared" si="0"/>
        <v>138269.97206377087</v>
      </c>
      <c r="L21" s="476">
        <f t="shared" ref="L21" si="9">IF(K21&lt;&gt;0,+G21-K21,0)</f>
        <v>0</v>
      </c>
      <c r="M21" s="476">
        <f t="shared" si="2"/>
        <v>138269.97206377087</v>
      </c>
      <c r="N21" s="476">
        <f t="shared" si="3"/>
        <v>0</v>
      </c>
      <c r="O21" s="476">
        <f t="shared" si="4"/>
        <v>0</v>
      </c>
      <c r="P21" s="241"/>
    </row>
    <row r="22" spans="2:16">
      <c r="B22" s="160" t="str">
        <f t="shared" si="7"/>
        <v>IU</v>
      </c>
      <c r="C22" s="470">
        <f>IF(D11="","-",+C21+1)</f>
        <v>2023</v>
      </c>
      <c r="D22" s="582">
        <v>1011228.0740457731</v>
      </c>
      <c r="E22" s="583">
        <v>29887.000256410251</v>
      </c>
      <c r="F22" s="582">
        <v>981341.07378936291</v>
      </c>
      <c r="G22" s="583">
        <v>148802.48155476435</v>
      </c>
      <c r="H22" s="585">
        <v>148802.48155476435</v>
      </c>
      <c r="I22" s="473">
        <f t="shared" si="5"/>
        <v>0</v>
      </c>
      <c r="J22" s="473"/>
      <c r="K22" s="476">
        <f t="shared" si="0"/>
        <v>148802.48155476435</v>
      </c>
      <c r="L22" s="476">
        <f t="shared" ref="L22" si="10">IF(K22&lt;&gt;0,+G22-K22,0)</f>
        <v>0</v>
      </c>
      <c r="M22" s="476">
        <f t="shared" si="2"/>
        <v>148802.48155476435</v>
      </c>
      <c r="N22" s="476">
        <f t="shared" ref="N22" si="11">IF(M22&lt;&gt;0,+H22-M22,0)</f>
        <v>0</v>
      </c>
      <c r="O22" s="476">
        <f t="shared" ref="O22" si="12">+N22-L22</f>
        <v>0</v>
      </c>
      <c r="P22" s="241"/>
    </row>
    <row r="23" spans="2:16">
      <c r="B23" s="160" t="str">
        <f t="shared" si="7"/>
        <v/>
      </c>
      <c r="C23" s="631">
        <f>IF(D11="","-",+C22+1)</f>
        <v>2024</v>
      </c>
      <c r="D23" s="481">
        <f>IF(F22+SUM(E$17:E22)=D$10,F22,D$10-SUM(E$17:E22))</f>
        <v>981341.07378936291</v>
      </c>
      <c r="E23" s="482">
        <f t="shared" ref="E23:E71" si="13">IF(+I$14&lt;F22,I$14,D23)</f>
        <v>30673.50026315789</v>
      </c>
      <c r="F23" s="483">
        <f t="shared" ref="F23:F71" si="14">+D23-E23</f>
        <v>950667.57352620503</v>
      </c>
      <c r="G23" s="484">
        <f t="shared" ref="G23:G71" si="15">(D23+F23)/2*I$12+E23</f>
        <v>140547.01323868823</v>
      </c>
      <c r="H23" s="453">
        <f t="shared" ref="H23:H71" si="16">+(D23+F23)/2*I$13+E23</f>
        <v>140547.01323868823</v>
      </c>
      <c r="I23" s="473">
        <f t="shared" si="5"/>
        <v>0</v>
      </c>
      <c r="J23" s="473"/>
      <c r="K23" s="485"/>
      <c r="L23" s="476">
        <f t="shared" si="1"/>
        <v>0</v>
      </c>
      <c r="M23" s="485"/>
      <c r="N23" s="476">
        <f t="shared" si="3"/>
        <v>0</v>
      </c>
      <c r="O23" s="476">
        <f t="shared" si="4"/>
        <v>0</v>
      </c>
      <c r="P23" s="241"/>
    </row>
    <row r="24" spans="2:16">
      <c r="B24" s="160" t="str">
        <f t="shared" si="7"/>
        <v/>
      </c>
      <c r="C24" s="470">
        <f>IF(D11="","-",+C23+1)</f>
        <v>2025</v>
      </c>
      <c r="D24" s="481">
        <f>IF(F23+SUM(E$17:E23)=D$10,F23,D$10-SUM(E$17:E23))</f>
        <v>950667.57352620503</v>
      </c>
      <c r="E24" s="482">
        <f t="shared" si="13"/>
        <v>30673.50026315789</v>
      </c>
      <c r="F24" s="483">
        <f t="shared" si="14"/>
        <v>919994.07326304715</v>
      </c>
      <c r="G24" s="484">
        <f t="shared" si="15"/>
        <v>137058.20356503411</v>
      </c>
      <c r="H24" s="453">
        <f t="shared" si="16"/>
        <v>137058.20356503411</v>
      </c>
      <c r="I24" s="473">
        <f t="shared" si="5"/>
        <v>0</v>
      </c>
      <c r="J24" s="473"/>
      <c r="K24" s="485"/>
      <c r="L24" s="476">
        <f t="shared" si="1"/>
        <v>0</v>
      </c>
      <c r="M24" s="485"/>
      <c r="N24" s="476">
        <f t="shared" si="3"/>
        <v>0</v>
      </c>
      <c r="O24" s="476">
        <f t="shared" si="4"/>
        <v>0</v>
      </c>
      <c r="P24" s="241"/>
    </row>
    <row r="25" spans="2:16">
      <c r="B25" s="160" t="str">
        <f t="shared" si="7"/>
        <v/>
      </c>
      <c r="C25" s="470">
        <f>IF(D11="","-",+C24+1)</f>
        <v>2026</v>
      </c>
      <c r="D25" s="481">
        <f>IF(F24+SUM(E$17:E24)=D$10,F24,D$10-SUM(E$17:E24))</f>
        <v>919994.07326304715</v>
      </c>
      <c r="E25" s="482">
        <f t="shared" si="13"/>
        <v>30673.50026315789</v>
      </c>
      <c r="F25" s="483">
        <f t="shared" si="14"/>
        <v>889320.57299988926</v>
      </c>
      <c r="G25" s="484">
        <f t="shared" si="15"/>
        <v>133569.39389137994</v>
      </c>
      <c r="H25" s="453">
        <f t="shared" si="16"/>
        <v>133569.39389137994</v>
      </c>
      <c r="I25" s="473">
        <f t="shared" si="5"/>
        <v>0</v>
      </c>
      <c r="J25" s="473"/>
      <c r="K25" s="485"/>
      <c r="L25" s="476">
        <f t="shared" si="1"/>
        <v>0</v>
      </c>
      <c r="M25" s="485"/>
      <c r="N25" s="476">
        <f t="shared" si="3"/>
        <v>0</v>
      </c>
      <c r="O25" s="476">
        <f t="shared" si="4"/>
        <v>0</v>
      </c>
      <c r="P25" s="241"/>
    </row>
    <row r="26" spans="2:16">
      <c r="B26" s="160" t="str">
        <f t="shared" si="7"/>
        <v/>
      </c>
      <c r="C26" s="470">
        <f>IF(D11="","-",+C25+1)</f>
        <v>2027</v>
      </c>
      <c r="D26" s="481">
        <f>IF(F25+SUM(E$17:E25)=D$10,F25,D$10-SUM(E$17:E25))</f>
        <v>889320.57299988926</v>
      </c>
      <c r="E26" s="482">
        <f t="shared" si="13"/>
        <v>30673.50026315789</v>
      </c>
      <c r="F26" s="483">
        <f t="shared" si="14"/>
        <v>858647.07273673138</v>
      </c>
      <c r="G26" s="484">
        <f t="shared" si="15"/>
        <v>130080.58421772582</v>
      </c>
      <c r="H26" s="453">
        <f t="shared" si="16"/>
        <v>130080.58421772582</v>
      </c>
      <c r="I26" s="473">
        <f t="shared" si="5"/>
        <v>0</v>
      </c>
      <c r="J26" s="473"/>
      <c r="K26" s="485"/>
      <c r="L26" s="476">
        <f t="shared" si="1"/>
        <v>0</v>
      </c>
      <c r="M26" s="485"/>
      <c r="N26" s="476">
        <f t="shared" si="3"/>
        <v>0</v>
      </c>
      <c r="O26" s="476">
        <f t="shared" si="4"/>
        <v>0</v>
      </c>
      <c r="P26" s="241"/>
    </row>
    <row r="27" spans="2:16">
      <c r="B27" s="160" t="str">
        <f t="shared" si="7"/>
        <v/>
      </c>
      <c r="C27" s="470">
        <f>IF(D11="","-",+C26+1)</f>
        <v>2028</v>
      </c>
      <c r="D27" s="481">
        <f>IF(F26+SUM(E$17:E26)=D$10,F26,D$10-SUM(E$17:E26))</f>
        <v>858647.07273673138</v>
      </c>
      <c r="E27" s="482">
        <f t="shared" si="13"/>
        <v>30673.50026315789</v>
      </c>
      <c r="F27" s="483">
        <f t="shared" si="14"/>
        <v>827973.5724735735</v>
      </c>
      <c r="G27" s="484">
        <f t="shared" si="15"/>
        <v>126591.77454407164</v>
      </c>
      <c r="H27" s="453">
        <f t="shared" si="16"/>
        <v>126591.77454407164</v>
      </c>
      <c r="I27" s="473">
        <f t="shared" si="5"/>
        <v>0</v>
      </c>
      <c r="J27" s="473"/>
      <c r="K27" s="485"/>
      <c r="L27" s="476">
        <f t="shared" si="1"/>
        <v>0</v>
      </c>
      <c r="M27" s="485"/>
      <c r="N27" s="476">
        <f t="shared" si="3"/>
        <v>0</v>
      </c>
      <c r="O27" s="476">
        <f t="shared" si="4"/>
        <v>0</v>
      </c>
      <c r="P27" s="241"/>
    </row>
    <row r="28" spans="2:16">
      <c r="B28" s="160" t="str">
        <f t="shared" si="7"/>
        <v/>
      </c>
      <c r="C28" s="470">
        <f>IF(D11="","-",+C27+1)</f>
        <v>2029</v>
      </c>
      <c r="D28" s="481">
        <f>IF(F27+SUM(E$17:E27)=D$10,F27,D$10-SUM(E$17:E27))</f>
        <v>827973.5724735735</v>
      </c>
      <c r="E28" s="482">
        <f t="shared" si="13"/>
        <v>30673.50026315789</v>
      </c>
      <c r="F28" s="483">
        <f t="shared" si="14"/>
        <v>797300.07221041562</v>
      </c>
      <c r="G28" s="484">
        <f t="shared" si="15"/>
        <v>123102.96487041752</v>
      </c>
      <c r="H28" s="453">
        <f t="shared" si="16"/>
        <v>123102.96487041752</v>
      </c>
      <c r="I28" s="473">
        <f t="shared" si="5"/>
        <v>0</v>
      </c>
      <c r="J28" s="473"/>
      <c r="K28" s="485"/>
      <c r="L28" s="476">
        <f t="shared" si="1"/>
        <v>0</v>
      </c>
      <c r="M28" s="485"/>
      <c r="N28" s="476">
        <f t="shared" si="3"/>
        <v>0</v>
      </c>
      <c r="O28" s="476">
        <f t="shared" si="4"/>
        <v>0</v>
      </c>
      <c r="P28" s="241"/>
    </row>
    <row r="29" spans="2:16">
      <c r="B29" s="160" t="str">
        <f t="shared" si="7"/>
        <v/>
      </c>
      <c r="C29" s="470">
        <f>IF(D11="","-",+C28+1)</f>
        <v>2030</v>
      </c>
      <c r="D29" s="481">
        <f>IF(F28+SUM(E$17:E28)=D$10,F28,D$10-SUM(E$17:E28))</f>
        <v>797300.07221041562</v>
      </c>
      <c r="E29" s="482">
        <f t="shared" si="13"/>
        <v>30673.50026315789</v>
      </c>
      <c r="F29" s="483">
        <f t="shared" si="14"/>
        <v>766626.57194725773</v>
      </c>
      <c r="G29" s="484">
        <f t="shared" si="15"/>
        <v>119614.15519676334</v>
      </c>
      <c r="H29" s="453">
        <f t="shared" si="16"/>
        <v>119614.15519676334</v>
      </c>
      <c r="I29" s="473">
        <f t="shared" si="5"/>
        <v>0</v>
      </c>
      <c r="J29" s="473"/>
      <c r="K29" s="485"/>
      <c r="L29" s="476">
        <f t="shared" si="1"/>
        <v>0</v>
      </c>
      <c r="M29" s="485"/>
      <c r="N29" s="476">
        <f t="shared" si="3"/>
        <v>0</v>
      </c>
      <c r="O29" s="476">
        <f t="shared" si="4"/>
        <v>0</v>
      </c>
      <c r="P29" s="241"/>
    </row>
    <row r="30" spans="2:16">
      <c r="B30" s="160" t="str">
        <f t="shared" si="7"/>
        <v/>
      </c>
      <c r="C30" s="470">
        <f>IF(D11="","-",+C29+1)</f>
        <v>2031</v>
      </c>
      <c r="D30" s="481">
        <f>IF(F29+SUM(E$17:E29)=D$10,F29,D$10-SUM(E$17:E29))</f>
        <v>766626.57194725773</v>
      </c>
      <c r="E30" s="482">
        <f t="shared" si="13"/>
        <v>30673.50026315789</v>
      </c>
      <c r="F30" s="483">
        <f t="shared" si="14"/>
        <v>735953.07168409985</v>
      </c>
      <c r="G30" s="484">
        <f t="shared" si="15"/>
        <v>116125.34552310919</v>
      </c>
      <c r="H30" s="453">
        <f t="shared" si="16"/>
        <v>116125.34552310919</v>
      </c>
      <c r="I30" s="473">
        <f t="shared" si="5"/>
        <v>0</v>
      </c>
      <c r="J30" s="473"/>
      <c r="K30" s="485"/>
      <c r="L30" s="476">
        <f t="shared" si="1"/>
        <v>0</v>
      </c>
      <c r="M30" s="485"/>
      <c r="N30" s="476">
        <f t="shared" si="3"/>
        <v>0</v>
      </c>
      <c r="O30" s="476">
        <f t="shared" si="4"/>
        <v>0</v>
      </c>
      <c r="P30" s="241"/>
    </row>
    <row r="31" spans="2:16">
      <c r="B31" s="160" t="str">
        <f t="shared" si="7"/>
        <v/>
      </c>
      <c r="C31" s="470">
        <f>IF(D11="","-",+C30+1)</f>
        <v>2032</v>
      </c>
      <c r="D31" s="481">
        <f>IF(F30+SUM(E$17:E30)=D$10,F30,D$10-SUM(E$17:E30))</f>
        <v>735953.07168409985</v>
      </c>
      <c r="E31" s="482">
        <f t="shared" si="13"/>
        <v>30673.50026315789</v>
      </c>
      <c r="F31" s="483">
        <f t="shared" si="14"/>
        <v>705279.57142094197</v>
      </c>
      <c r="G31" s="484">
        <f t="shared" si="15"/>
        <v>112636.53584945505</v>
      </c>
      <c r="H31" s="453">
        <f t="shared" si="16"/>
        <v>112636.53584945505</v>
      </c>
      <c r="I31" s="473">
        <f t="shared" si="5"/>
        <v>0</v>
      </c>
      <c r="J31" s="473"/>
      <c r="K31" s="485"/>
      <c r="L31" s="476">
        <f t="shared" si="1"/>
        <v>0</v>
      </c>
      <c r="M31" s="485"/>
      <c r="N31" s="476">
        <f t="shared" si="3"/>
        <v>0</v>
      </c>
      <c r="O31" s="476">
        <f t="shared" si="4"/>
        <v>0</v>
      </c>
      <c r="P31" s="241"/>
    </row>
    <row r="32" spans="2:16">
      <c r="B32" s="160" t="str">
        <f t="shared" si="7"/>
        <v/>
      </c>
      <c r="C32" s="470">
        <f>IF(D11="","-",+C31+1)</f>
        <v>2033</v>
      </c>
      <c r="D32" s="481">
        <f>IF(F31+SUM(E$17:E31)=D$10,F31,D$10-SUM(E$17:E31))</f>
        <v>705279.57142094197</v>
      </c>
      <c r="E32" s="482">
        <f t="shared" si="13"/>
        <v>30673.50026315789</v>
      </c>
      <c r="F32" s="483">
        <f t="shared" si="14"/>
        <v>674606.07115778408</v>
      </c>
      <c r="G32" s="484">
        <f t="shared" si="15"/>
        <v>109147.7261758009</v>
      </c>
      <c r="H32" s="453">
        <f t="shared" si="16"/>
        <v>109147.7261758009</v>
      </c>
      <c r="I32" s="473">
        <f t="shared" si="5"/>
        <v>0</v>
      </c>
      <c r="J32" s="473"/>
      <c r="K32" s="485"/>
      <c r="L32" s="476">
        <f t="shared" si="1"/>
        <v>0</v>
      </c>
      <c r="M32" s="485"/>
      <c r="N32" s="476">
        <f t="shared" si="3"/>
        <v>0</v>
      </c>
      <c r="O32" s="476">
        <f t="shared" si="4"/>
        <v>0</v>
      </c>
      <c r="P32" s="241"/>
    </row>
    <row r="33" spans="2:16">
      <c r="B33" s="160" t="str">
        <f t="shared" si="7"/>
        <v/>
      </c>
      <c r="C33" s="470">
        <f>IF(D11="","-",+C32+1)</f>
        <v>2034</v>
      </c>
      <c r="D33" s="481">
        <f>IF(F32+SUM(E$17:E32)=D$10,F32,D$10-SUM(E$17:E32))</f>
        <v>674606.07115778408</v>
      </c>
      <c r="E33" s="482">
        <f t="shared" si="13"/>
        <v>30673.50026315789</v>
      </c>
      <c r="F33" s="483">
        <f t="shared" si="14"/>
        <v>643932.5708946262</v>
      </c>
      <c r="G33" s="484">
        <f t="shared" si="15"/>
        <v>105658.91650214675</v>
      </c>
      <c r="H33" s="453">
        <f t="shared" si="16"/>
        <v>105658.91650214675</v>
      </c>
      <c r="I33" s="473">
        <f t="shared" si="5"/>
        <v>0</v>
      </c>
      <c r="J33" s="473"/>
      <c r="K33" s="485"/>
      <c r="L33" s="476">
        <f t="shared" si="1"/>
        <v>0</v>
      </c>
      <c r="M33" s="485"/>
      <c r="N33" s="476">
        <f t="shared" si="3"/>
        <v>0</v>
      </c>
      <c r="O33" s="476">
        <f t="shared" si="4"/>
        <v>0</v>
      </c>
      <c r="P33" s="241"/>
    </row>
    <row r="34" spans="2:16">
      <c r="B34" s="160" t="str">
        <f t="shared" si="7"/>
        <v/>
      </c>
      <c r="C34" s="470">
        <f>IF(D11="","-",+C33+1)</f>
        <v>2035</v>
      </c>
      <c r="D34" s="481">
        <f>IF(F33+SUM(E$17:E33)=D$10,F33,D$10-SUM(E$17:E33))</f>
        <v>643932.5708946262</v>
      </c>
      <c r="E34" s="482">
        <f t="shared" si="13"/>
        <v>30673.50026315789</v>
      </c>
      <c r="F34" s="483">
        <f t="shared" si="14"/>
        <v>613259.07063146832</v>
      </c>
      <c r="G34" s="484">
        <f t="shared" si="15"/>
        <v>102170.1068284926</v>
      </c>
      <c r="H34" s="453">
        <f t="shared" si="16"/>
        <v>102170.1068284926</v>
      </c>
      <c r="I34" s="473">
        <f t="shared" si="5"/>
        <v>0</v>
      </c>
      <c r="J34" s="473"/>
      <c r="K34" s="485"/>
      <c r="L34" s="476">
        <f t="shared" si="1"/>
        <v>0</v>
      </c>
      <c r="M34" s="485"/>
      <c r="N34" s="476">
        <f t="shared" si="3"/>
        <v>0</v>
      </c>
      <c r="O34" s="476">
        <f t="shared" si="4"/>
        <v>0</v>
      </c>
      <c r="P34" s="241"/>
    </row>
    <row r="35" spans="2:16">
      <c r="B35" s="160" t="str">
        <f t="shared" si="7"/>
        <v/>
      </c>
      <c r="C35" s="470">
        <f>IF(D11="","-",+C34+1)</f>
        <v>2036</v>
      </c>
      <c r="D35" s="481">
        <f>IF(F34+SUM(E$17:E34)=D$10,F34,D$10-SUM(E$17:E34))</f>
        <v>613259.07063146832</v>
      </c>
      <c r="E35" s="482">
        <f t="shared" si="13"/>
        <v>30673.50026315789</v>
      </c>
      <c r="F35" s="483">
        <f t="shared" si="14"/>
        <v>582585.57036831044</v>
      </c>
      <c r="G35" s="484">
        <f t="shared" si="15"/>
        <v>98681.297154838452</v>
      </c>
      <c r="H35" s="453">
        <f t="shared" si="16"/>
        <v>98681.297154838452</v>
      </c>
      <c r="I35" s="473">
        <f t="shared" si="5"/>
        <v>0</v>
      </c>
      <c r="J35" s="473"/>
      <c r="K35" s="485"/>
      <c r="L35" s="476">
        <f t="shared" si="1"/>
        <v>0</v>
      </c>
      <c r="M35" s="485"/>
      <c r="N35" s="476">
        <f t="shared" si="3"/>
        <v>0</v>
      </c>
      <c r="O35" s="476">
        <f t="shared" si="4"/>
        <v>0</v>
      </c>
      <c r="P35" s="241"/>
    </row>
    <row r="36" spans="2:16">
      <c r="B36" s="160" t="str">
        <f t="shared" si="7"/>
        <v/>
      </c>
      <c r="C36" s="470">
        <f>IF(D11="","-",+C35+1)</f>
        <v>2037</v>
      </c>
      <c r="D36" s="481">
        <f>IF(F35+SUM(E$17:E35)=D$10,F35,D$10-SUM(E$17:E35))</f>
        <v>582585.57036831044</v>
      </c>
      <c r="E36" s="482">
        <f t="shared" si="13"/>
        <v>30673.50026315789</v>
      </c>
      <c r="F36" s="483">
        <f t="shared" si="14"/>
        <v>551912.07010515255</v>
      </c>
      <c r="G36" s="484">
        <f t="shared" si="15"/>
        <v>95192.487481184304</v>
      </c>
      <c r="H36" s="453">
        <f t="shared" si="16"/>
        <v>95192.487481184304</v>
      </c>
      <c r="I36" s="473">
        <f t="shared" si="5"/>
        <v>0</v>
      </c>
      <c r="J36" s="473"/>
      <c r="K36" s="485"/>
      <c r="L36" s="476">
        <f t="shared" si="1"/>
        <v>0</v>
      </c>
      <c r="M36" s="485"/>
      <c r="N36" s="476">
        <f t="shared" si="3"/>
        <v>0</v>
      </c>
      <c r="O36" s="476">
        <f t="shared" si="4"/>
        <v>0</v>
      </c>
      <c r="P36" s="241"/>
    </row>
    <row r="37" spans="2:16">
      <c r="B37" s="160" t="str">
        <f t="shared" si="7"/>
        <v/>
      </c>
      <c r="C37" s="470">
        <f>IF(D11="","-",+C36+1)</f>
        <v>2038</v>
      </c>
      <c r="D37" s="481">
        <f>IF(F36+SUM(E$17:E36)=D$10,F36,D$10-SUM(E$17:E36))</f>
        <v>551912.07010515255</v>
      </c>
      <c r="E37" s="482">
        <f t="shared" si="13"/>
        <v>30673.50026315789</v>
      </c>
      <c r="F37" s="483">
        <f t="shared" si="14"/>
        <v>521238.56984199467</v>
      </c>
      <c r="G37" s="484">
        <f t="shared" si="15"/>
        <v>91703.677807530141</v>
      </c>
      <c r="H37" s="453">
        <f t="shared" si="16"/>
        <v>91703.677807530141</v>
      </c>
      <c r="I37" s="473">
        <f t="shared" si="5"/>
        <v>0</v>
      </c>
      <c r="J37" s="473"/>
      <c r="K37" s="485"/>
      <c r="L37" s="476">
        <f t="shared" si="1"/>
        <v>0</v>
      </c>
      <c r="M37" s="485"/>
      <c r="N37" s="476">
        <f t="shared" si="3"/>
        <v>0</v>
      </c>
      <c r="O37" s="476">
        <f t="shared" si="4"/>
        <v>0</v>
      </c>
      <c r="P37" s="241"/>
    </row>
    <row r="38" spans="2:16">
      <c r="B38" s="160" t="str">
        <f t="shared" si="7"/>
        <v/>
      </c>
      <c r="C38" s="470">
        <f>IF(D11="","-",+C37+1)</f>
        <v>2039</v>
      </c>
      <c r="D38" s="481">
        <f>IF(F37+SUM(E$17:E37)=D$10,F37,D$10-SUM(E$17:E37))</f>
        <v>521238.56984199467</v>
      </c>
      <c r="E38" s="482">
        <f t="shared" si="13"/>
        <v>30673.50026315789</v>
      </c>
      <c r="F38" s="483">
        <f t="shared" si="14"/>
        <v>490565.06957883679</v>
      </c>
      <c r="G38" s="484">
        <f t="shared" si="15"/>
        <v>88214.868133875992</v>
      </c>
      <c r="H38" s="453">
        <f t="shared" si="16"/>
        <v>88214.868133875992</v>
      </c>
      <c r="I38" s="473">
        <f t="shared" si="5"/>
        <v>0</v>
      </c>
      <c r="J38" s="473"/>
      <c r="K38" s="485"/>
      <c r="L38" s="476">
        <f t="shared" si="1"/>
        <v>0</v>
      </c>
      <c r="M38" s="485"/>
      <c r="N38" s="476">
        <f t="shared" si="3"/>
        <v>0</v>
      </c>
      <c r="O38" s="476">
        <f t="shared" si="4"/>
        <v>0</v>
      </c>
      <c r="P38" s="241"/>
    </row>
    <row r="39" spans="2:16">
      <c r="B39" s="160" t="str">
        <f t="shared" si="7"/>
        <v/>
      </c>
      <c r="C39" s="470">
        <f>IF(D11="","-",+C38+1)</f>
        <v>2040</v>
      </c>
      <c r="D39" s="481">
        <f>IF(F38+SUM(E$17:E38)=D$10,F38,D$10-SUM(E$17:E38))</f>
        <v>490565.06957883679</v>
      </c>
      <c r="E39" s="482">
        <f t="shared" si="13"/>
        <v>30673.50026315789</v>
      </c>
      <c r="F39" s="483">
        <f t="shared" si="14"/>
        <v>459891.56931567891</v>
      </c>
      <c r="G39" s="484">
        <f t="shared" si="15"/>
        <v>84726.058460221844</v>
      </c>
      <c r="H39" s="453">
        <f t="shared" si="16"/>
        <v>84726.058460221844</v>
      </c>
      <c r="I39" s="473">
        <f t="shared" si="5"/>
        <v>0</v>
      </c>
      <c r="J39" s="473"/>
      <c r="K39" s="485"/>
      <c r="L39" s="476">
        <f t="shared" si="1"/>
        <v>0</v>
      </c>
      <c r="M39" s="485"/>
      <c r="N39" s="476">
        <f t="shared" si="3"/>
        <v>0</v>
      </c>
      <c r="O39" s="476">
        <f t="shared" si="4"/>
        <v>0</v>
      </c>
      <c r="P39" s="241"/>
    </row>
    <row r="40" spans="2:16">
      <c r="B40" s="160" t="str">
        <f t="shared" si="7"/>
        <v/>
      </c>
      <c r="C40" s="470">
        <f>IF(D11="","-",+C39+1)</f>
        <v>2041</v>
      </c>
      <c r="D40" s="481">
        <f>IF(F39+SUM(E$17:E39)=D$10,F39,D$10-SUM(E$17:E39))</f>
        <v>459891.56931567891</v>
      </c>
      <c r="E40" s="482">
        <f t="shared" si="13"/>
        <v>30673.50026315789</v>
      </c>
      <c r="F40" s="483">
        <f t="shared" si="14"/>
        <v>429218.06905252102</v>
      </c>
      <c r="G40" s="484">
        <f t="shared" si="15"/>
        <v>81237.248786567696</v>
      </c>
      <c r="H40" s="453">
        <f t="shared" si="16"/>
        <v>81237.248786567696</v>
      </c>
      <c r="I40" s="473">
        <f t="shared" si="5"/>
        <v>0</v>
      </c>
      <c r="J40" s="473"/>
      <c r="K40" s="485"/>
      <c r="L40" s="476">
        <f t="shared" si="1"/>
        <v>0</v>
      </c>
      <c r="M40" s="485"/>
      <c r="N40" s="476">
        <f t="shared" si="3"/>
        <v>0</v>
      </c>
      <c r="O40" s="476">
        <f t="shared" si="4"/>
        <v>0</v>
      </c>
      <c r="P40" s="241"/>
    </row>
    <row r="41" spans="2:16">
      <c r="B41" s="160" t="str">
        <f t="shared" si="7"/>
        <v/>
      </c>
      <c r="C41" s="470">
        <f>IF(D11="","-",+C40+1)</f>
        <v>2042</v>
      </c>
      <c r="D41" s="481">
        <f>IF(F40+SUM(E$17:E40)=D$10,F40,D$10-SUM(E$17:E40))</f>
        <v>429218.06905252102</v>
      </c>
      <c r="E41" s="482">
        <f t="shared" si="13"/>
        <v>30673.50026315789</v>
      </c>
      <c r="F41" s="483">
        <f t="shared" si="14"/>
        <v>398544.56878936314</v>
      </c>
      <c r="G41" s="484">
        <f t="shared" si="15"/>
        <v>77748.439112913533</v>
      </c>
      <c r="H41" s="453">
        <f t="shared" si="16"/>
        <v>77748.439112913533</v>
      </c>
      <c r="I41" s="473">
        <f t="shared" si="5"/>
        <v>0</v>
      </c>
      <c r="J41" s="473"/>
      <c r="K41" s="485"/>
      <c r="L41" s="476">
        <f t="shared" si="1"/>
        <v>0</v>
      </c>
      <c r="M41" s="485"/>
      <c r="N41" s="476">
        <f t="shared" si="3"/>
        <v>0</v>
      </c>
      <c r="O41" s="476">
        <f t="shared" si="4"/>
        <v>0</v>
      </c>
      <c r="P41" s="241"/>
    </row>
    <row r="42" spans="2:16">
      <c r="B42" s="160" t="str">
        <f t="shared" si="7"/>
        <v/>
      </c>
      <c r="C42" s="470">
        <f>IF(D11="","-",+C41+1)</f>
        <v>2043</v>
      </c>
      <c r="D42" s="481">
        <f>IF(F41+SUM(E$17:E41)=D$10,F41,D$10-SUM(E$17:E41))</f>
        <v>398544.56878936314</v>
      </c>
      <c r="E42" s="482">
        <f t="shared" si="13"/>
        <v>30673.50026315789</v>
      </c>
      <c r="F42" s="483">
        <f t="shared" si="14"/>
        <v>367871.06852620526</v>
      </c>
      <c r="G42" s="484">
        <f t="shared" si="15"/>
        <v>74259.629439259385</v>
      </c>
      <c r="H42" s="453">
        <f t="shared" si="16"/>
        <v>74259.629439259385</v>
      </c>
      <c r="I42" s="473">
        <f t="shared" si="5"/>
        <v>0</v>
      </c>
      <c r="J42" s="473"/>
      <c r="K42" s="485"/>
      <c r="L42" s="476">
        <f t="shared" si="1"/>
        <v>0</v>
      </c>
      <c r="M42" s="485"/>
      <c r="N42" s="476">
        <f t="shared" si="3"/>
        <v>0</v>
      </c>
      <c r="O42" s="476">
        <f t="shared" si="4"/>
        <v>0</v>
      </c>
      <c r="P42" s="241"/>
    </row>
    <row r="43" spans="2:16">
      <c r="B43" s="160" t="str">
        <f t="shared" si="7"/>
        <v/>
      </c>
      <c r="C43" s="470">
        <f>IF(D11="","-",+C42+1)</f>
        <v>2044</v>
      </c>
      <c r="D43" s="481">
        <f>IF(F42+SUM(E$17:E42)=D$10,F42,D$10-SUM(E$17:E42))</f>
        <v>367871.06852620526</v>
      </c>
      <c r="E43" s="482">
        <f t="shared" si="13"/>
        <v>30673.50026315789</v>
      </c>
      <c r="F43" s="483">
        <f t="shared" si="14"/>
        <v>337197.56826304737</v>
      </c>
      <c r="G43" s="484">
        <f t="shared" si="15"/>
        <v>70770.819765605236</v>
      </c>
      <c r="H43" s="453">
        <f t="shared" si="16"/>
        <v>70770.819765605236</v>
      </c>
      <c r="I43" s="473">
        <f t="shared" si="5"/>
        <v>0</v>
      </c>
      <c r="J43" s="473"/>
      <c r="K43" s="485"/>
      <c r="L43" s="476">
        <f t="shared" si="1"/>
        <v>0</v>
      </c>
      <c r="M43" s="485"/>
      <c r="N43" s="476">
        <f t="shared" si="3"/>
        <v>0</v>
      </c>
      <c r="O43" s="476">
        <f t="shared" si="4"/>
        <v>0</v>
      </c>
      <c r="P43" s="241"/>
    </row>
    <row r="44" spans="2:16">
      <c r="B44" s="160" t="str">
        <f t="shared" si="7"/>
        <v/>
      </c>
      <c r="C44" s="470">
        <f>IF(D11="","-",+C43+1)</f>
        <v>2045</v>
      </c>
      <c r="D44" s="481">
        <f>IF(F43+SUM(E$17:E43)=D$10,F43,D$10-SUM(E$17:E43))</f>
        <v>337197.56826304737</v>
      </c>
      <c r="E44" s="482">
        <f t="shared" si="13"/>
        <v>30673.50026315789</v>
      </c>
      <c r="F44" s="483">
        <f t="shared" si="14"/>
        <v>306524.06799988949</v>
      </c>
      <c r="G44" s="484">
        <f t="shared" si="15"/>
        <v>67282.010091951088</v>
      </c>
      <c r="H44" s="453">
        <f t="shared" si="16"/>
        <v>67282.010091951088</v>
      </c>
      <c r="I44" s="473">
        <f t="shared" si="5"/>
        <v>0</v>
      </c>
      <c r="J44" s="473"/>
      <c r="K44" s="485"/>
      <c r="L44" s="476">
        <f t="shared" si="1"/>
        <v>0</v>
      </c>
      <c r="M44" s="485"/>
      <c r="N44" s="476">
        <f t="shared" si="3"/>
        <v>0</v>
      </c>
      <c r="O44" s="476">
        <f t="shared" si="4"/>
        <v>0</v>
      </c>
      <c r="P44" s="241"/>
    </row>
    <row r="45" spans="2:16">
      <c r="B45" s="160" t="str">
        <f t="shared" si="7"/>
        <v/>
      </c>
      <c r="C45" s="470">
        <f>IF(D11="","-",+C44+1)</f>
        <v>2046</v>
      </c>
      <c r="D45" s="481">
        <f>IF(F44+SUM(E$17:E44)=D$10,F44,D$10-SUM(E$17:E44))</f>
        <v>306524.06799988949</v>
      </c>
      <c r="E45" s="482">
        <f t="shared" si="13"/>
        <v>30673.50026315789</v>
      </c>
      <c r="F45" s="483">
        <f t="shared" si="14"/>
        <v>275850.56773673161</v>
      </c>
      <c r="G45" s="484">
        <f t="shared" si="15"/>
        <v>63793.200418296939</v>
      </c>
      <c r="H45" s="453">
        <f t="shared" si="16"/>
        <v>63793.200418296939</v>
      </c>
      <c r="I45" s="473">
        <f t="shared" si="5"/>
        <v>0</v>
      </c>
      <c r="J45" s="473"/>
      <c r="K45" s="485"/>
      <c r="L45" s="476">
        <f t="shared" si="1"/>
        <v>0</v>
      </c>
      <c r="M45" s="485"/>
      <c r="N45" s="476">
        <f t="shared" si="3"/>
        <v>0</v>
      </c>
      <c r="O45" s="476">
        <f t="shared" si="4"/>
        <v>0</v>
      </c>
      <c r="P45" s="241"/>
    </row>
    <row r="46" spans="2:16">
      <c r="B46" s="160" t="str">
        <f t="shared" si="7"/>
        <v/>
      </c>
      <c r="C46" s="470">
        <f>IF(D11="","-",+C45+1)</f>
        <v>2047</v>
      </c>
      <c r="D46" s="481">
        <f>IF(F45+SUM(E$17:E45)=D$10,F45,D$10-SUM(E$17:E45))</f>
        <v>275850.56773673161</v>
      </c>
      <c r="E46" s="482">
        <f t="shared" si="13"/>
        <v>30673.50026315789</v>
      </c>
      <c r="F46" s="483">
        <f t="shared" si="14"/>
        <v>245177.06747357373</v>
      </c>
      <c r="G46" s="484">
        <f t="shared" si="15"/>
        <v>60304.390744642791</v>
      </c>
      <c r="H46" s="453">
        <f t="shared" si="16"/>
        <v>60304.390744642791</v>
      </c>
      <c r="I46" s="473">
        <f t="shared" si="5"/>
        <v>0</v>
      </c>
      <c r="J46" s="473"/>
      <c r="K46" s="485"/>
      <c r="L46" s="476">
        <f t="shared" si="1"/>
        <v>0</v>
      </c>
      <c r="M46" s="485"/>
      <c r="N46" s="476">
        <f t="shared" si="3"/>
        <v>0</v>
      </c>
      <c r="O46" s="476">
        <f t="shared" si="4"/>
        <v>0</v>
      </c>
      <c r="P46" s="241"/>
    </row>
    <row r="47" spans="2:16">
      <c r="B47" s="160" t="str">
        <f t="shared" si="7"/>
        <v/>
      </c>
      <c r="C47" s="470">
        <f>IF(D11="","-",+C46+1)</f>
        <v>2048</v>
      </c>
      <c r="D47" s="481">
        <f>IF(F46+SUM(E$17:E46)=D$10,F46,D$10-SUM(E$17:E46))</f>
        <v>245177.06747357373</v>
      </c>
      <c r="E47" s="482">
        <f t="shared" si="13"/>
        <v>30673.50026315789</v>
      </c>
      <c r="F47" s="483">
        <f t="shared" si="14"/>
        <v>214503.56721041584</v>
      </c>
      <c r="G47" s="484">
        <f t="shared" si="15"/>
        <v>56815.581070988643</v>
      </c>
      <c r="H47" s="453">
        <f t="shared" si="16"/>
        <v>56815.581070988643</v>
      </c>
      <c r="I47" s="473">
        <f t="shared" si="5"/>
        <v>0</v>
      </c>
      <c r="J47" s="473"/>
      <c r="K47" s="485"/>
      <c r="L47" s="476">
        <f t="shared" si="1"/>
        <v>0</v>
      </c>
      <c r="M47" s="485"/>
      <c r="N47" s="476">
        <f t="shared" si="3"/>
        <v>0</v>
      </c>
      <c r="O47" s="476">
        <f t="shared" si="4"/>
        <v>0</v>
      </c>
      <c r="P47" s="241"/>
    </row>
    <row r="48" spans="2:16">
      <c r="B48" s="160" t="str">
        <f t="shared" si="7"/>
        <v/>
      </c>
      <c r="C48" s="470">
        <f>IF(D11="","-",+C47+1)</f>
        <v>2049</v>
      </c>
      <c r="D48" s="481">
        <f>IF(F47+SUM(E$17:E47)=D$10,F47,D$10-SUM(E$17:E47))</f>
        <v>214503.56721041584</v>
      </c>
      <c r="E48" s="482">
        <f t="shared" si="13"/>
        <v>30673.50026315789</v>
      </c>
      <c r="F48" s="483">
        <f t="shared" si="14"/>
        <v>183830.06694725796</v>
      </c>
      <c r="G48" s="484">
        <f t="shared" si="15"/>
        <v>53326.771397334494</v>
      </c>
      <c r="H48" s="453">
        <f t="shared" si="16"/>
        <v>53326.771397334494</v>
      </c>
      <c r="I48" s="473">
        <f t="shared" si="5"/>
        <v>0</v>
      </c>
      <c r="J48" s="473"/>
      <c r="K48" s="485"/>
      <c r="L48" s="476">
        <f t="shared" si="1"/>
        <v>0</v>
      </c>
      <c r="M48" s="485"/>
      <c r="N48" s="476">
        <f t="shared" si="3"/>
        <v>0</v>
      </c>
      <c r="O48" s="476">
        <f t="shared" si="4"/>
        <v>0</v>
      </c>
      <c r="P48" s="241"/>
    </row>
    <row r="49" spans="2:16">
      <c r="B49" s="160" t="str">
        <f t="shared" si="7"/>
        <v/>
      </c>
      <c r="C49" s="470">
        <f>IF(D11="","-",+C48+1)</f>
        <v>2050</v>
      </c>
      <c r="D49" s="481">
        <f>IF(F48+SUM(E$17:E48)=D$10,F48,D$10-SUM(E$17:E48))</f>
        <v>183830.06694725796</v>
      </c>
      <c r="E49" s="482">
        <f t="shared" si="13"/>
        <v>30673.50026315789</v>
      </c>
      <c r="F49" s="483">
        <f t="shared" si="14"/>
        <v>153156.56668410008</v>
      </c>
      <c r="G49" s="484">
        <f t="shared" si="15"/>
        <v>49837.961723680346</v>
      </c>
      <c r="H49" s="453">
        <f t="shared" si="16"/>
        <v>49837.961723680346</v>
      </c>
      <c r="I49" s="473">
        <f t="shared" si="5"/>
        <v>0</v>
      </c>
      <c r="J49" s="473"/>
      <c r="K49" s="485"/>
      <c r="L49" s="476">
        <f t="shared" si="1"/>
        <v>0</v>
      </c>
      <c r="M49" s="485"/>
      <c r="N49" s="476">
        <f t="shared" si="3"/>
        <v>0</v>
      </c>
      <c r="O49" s="476">
        <f t="shared" si="4"/>
        <v>0</v>
      </c>
      <c r="P49" s="241"/>
    </row>
    <row r="50" spans="2:16">
      <c r="B50" s="160" t="str">
        <f t="shared" si="7"/>
        <v/>
      </c>
      <c r="C50" s="470">
        <f>IF(D11="","-",+C49+1)</f>
        <v>2051</v>
      </c>
      <c r="D50" s="481">
        <f>IF(F49+SUM(E$17:E49)=D$10,F49,D$10-SUM(E$17:E49))</f>
        <v>153156.56668410008</v>
      </c>
      <c r="E50" s="482">
        <f t="shared" si="13"/>
        <v>30673.50026315789</v>
      </c>
      <c r="F50" s="483">
        <f t="shared" si="14"/>
        <v>122483.0664209422</v>
      </c>
      <c r="G50" s="484">
        <f t="shared" si="15"/>
        <v>46349.15205002619</v>
      </c>
      <c r="H50" s="453">
        <f t="shared" si="16"/>
        <v>46349.15205002619</v>
      </c>
      <c r="I50" s="473">
        <f t="shared" si="5"/>
        <v>0</v>
      </c>
      <c r="J50" s="473"/>
      <c r="K50" s="485"/>
      <c r="L50" s="476">
        <f t="shared" si="1"/>
        <v>0</v>
      </c>
      <c r="M50" s="485"/>
      <c r="N50" s="476">
        <f t="shared" si="3"/>
        <v>0</v>
      </c>
      <c r="O50" s="476">
        <f t="shared" si="4"/>
        <v>0</v>
      </c>
      <c r="P50" s="241"/>
    </row>
    <row r="51" spans="2:16">
      <c r="B51" s="160" t="str">
        <f t="shared" si="7"/>
        <v/>
      </c>
      <c r="C51" s="470">
        <f>IF(D11="","-",+C50+1)</f>
        <v>2052</v>
      </c>
      <c r="D51" s="481">
        <f>IF(F50+SUM(E$17:E50)=D$10,F50,D$10-SUM(E$17:E50))</f>
        <v>122483.0664209422</v>
      </c>
      <c r="E51" s="482">
        <f t="shared" si="13"/>
        <v>30673.50026315789</v>
      </c>
      <c r="F51" s="483">
        <f t="shared" si="14"/>
        <v>91809.566157784313</v>
      </c>
      <c r="G51" s="484">
        <f t="shared" si="15"/>
        <v>42860.342376372042</v>
      </c>
      <c r="H51" s="453">
        <f t="shared" si="16"/>
        <v>42860.342376372042</v>
      </c>
      <c r="I51" s="473">
        <f t="shared" si="5"/>
        <v>0</v>
      </c>
      <c r="J51" s="473"/>
      <c r="K51" s="485"/>
      <c r="L51" s="476">
        <f t="shared" si="1"/>
        <v>0</v>
      </c>
      <c r="M51" s="485"/>
      <c r="N51" s="476">
        <f t="shared" si="3"/>
        <v>0</v>
      </c>
      <c r="O51" s="476">
        <f t="shared" si="4"/>
        <v>0</v>
      </c>
      <c r="P51" s="241"/>
    </row>
    <row r="52" spans="2:16">
      <c r="B52" s="160" t="str">
        <f t="shared" si="7"/>
        <v/>
      </c>
      <c r="C52" s="470">
        <f>IF(D11="","-",+C51+1)</f>
        <v>2053</v>
      </c>
      <c r="D52" s="481">
        <f>IF(F51+SUM(E$17:E51)=D$10,F51,D$10-SUM(E$17:E51))</f>
        <v>91809.566157784313</v>
      </c>
      <c r="E52" s="482">
        <f t="shared" si="13"/>
        <v>30673.50026315789</v>
      </c>
      <c r="F52" s="483">
        <f t="shared" si="14"/>
        <v>61136.065894626423</v>
      </c>
      <c r="G52" s="484">
        <f t="shared" si="15"/>
        <v>39371.532702717886</v>
      </c>
      <c r="H52" s="453">
        <f t="shared" si="16"/>
        <v>39371.532702717886</v>
      </c>
      <c r="I52" s="473">
        <f t="shared" si="5"/>
        <v>0</v>
      </c>
      <c r="J52" s="473"/>
      <c r="K52" s="485"/>
      <c r="L52" s="476">
        <f t="shared" si="1"/>
        <v>0</v>
      </c>
      <c r="M52" s="485"/>
      <c r="N52" s="476">
        <f t="shared" si="3"/>
        <v>0</v>
      </c>
      <c r="O52" s="476">
        <f t="shared" si="4"/>
        <v>0</v>
      </c>
      <c r="P52" s="241"/>
    </row>
    <row r="53" spans="2:16">
      <c r="B53" s="160" t="str">
        <f t="shared" si="7"/>
        <v/>
      </c>
      <c r="C53" s="470">
        <f>IF(D11="","-",+C52+1)</f>
        <v>2054</v>
      </c>
      <c r="D53" s="481">
        <f>IF(F52+SUM(E$17:E52)=D$10,F52,D$10-SUM(E$17:E52))</f>
        <v>61136.065894626423</v>
      </c>
      <c r="E53" s="482">
        <f t="shared" si="13"/>
        <v>30673.50026315789</v>
      </c>
      <c r="F53" s="483">
        <f t="shared" si="14"/>
        <v>30462.565631468533</v>
      </c>
      <c r="G53" s="484">
        <f t="shared" si="15"/>
        <v>35882.723029063738</v>
      </c>
      <c r="H53" s="453">
        <f t="shared" si="16"/>
        <v>35882.723029063738</v>
      </c>
      <c r="I53" s="473">
        <f t="shared" si="5"/>
        <v>0</v>
      </c>
      <c r="J53" s="473"/>
      <c r="K53" s="485"/>
      <c r="L53" s="476">
        <f t="shared" si="1"/>
        <v>0</v>
      </c>
      <c r="M53" s="485"/>
      <c r="N53" s="476">
        <f t="shared" si="3"/>
        <v>0</v>
      </c>
      <c r="O53" s="476">
        <f t="shared" si="4"/>
        <v>0</v>
      </c>
      <c r="P53" s="241"/>
    </row>
    <row r="54" spans="2:16">
      <c r="B54" s="160" t="str">
        <f t="shared" si="7"/>
        <v/>
      </c>
      <c r="C54" s="470">
        <f>IF(D11="","-",+C53+1)</f>
        <v>2055</v>
      </c>
      <c r="D54" s="481">
        <f>IF(F53+SUM(E$17:E53)=D$10,F53,D$10-SUM(E$17:E53))</f>
        <v>30462.565631468533</v>
      </c>
      <c r="E54" s="482">
        <f t="shared" si="13"/>
        <v>30462.565631468533</v>
      </c>
      <c r="F54" s="483">
        <f t="shared" si="14"/>
        <v>0</v>
      </c>
      <c r="G54" s="484">
        <f t="shared" si="15"/>
        <v>32194.97459600792</v>
      </c>
      <c r="H54" s="453">
        <f t="shared" si="16"/>
        <v>32194.97459600792</v>
      </c>
      <c r="I54" s="473">
        <f t="shared" si="5"/>
        <v>0</v>
      </c>
      <c r="J54" s="473"/>
      <c r="K54" s="485"/>
      <c r="L54" s="476">
        <f t="shared" si="1"/>
        <v>0</v>
      </c>
      <c r="M54" s="485"/>
      <c r="N54" s="476">
        <f t="shared" si="3"/>
        <v>0</v>
      </c>
      <c r="O54" s="476">
        <f t="shared" si="4"/>
        <v>0</v>
      </c>
      <c r="P54" s="241"/>
    </row>
    <row r="55" spans="2:16">
      <c r="B55" s="160" t="str">
        <f t="shared" si="7"/>
        <v/>
      </c>
      <c r="C55" s="470">
        <f>IF(D11="","-",+C54+1)</f>
        <v>2056</v>
      </c>
      <c r="D55" s="481">
        <f>IF(F54+SUM(E$17:E54)=D$10,F54,D$10-SUM(E$17:E54))</f>
        <v>0</v>
      </c>
      <c r="E55" s="482">
        <f t="shared" si="13"/>
        <v>0</v>
      </c>
      <c r="F55" s="483">
        <f t="shared" si="14"/>
        <v>0</v>
      </c>
      <c r="G55" s="484">
        <f t="shared" si="15"/>
        <v>0</v>
      </c>
      <c r="H55" s="453">
        <f t="shared" si="16"/>
        <v>0</v>
      </c>
      <c r="I55" s="473">
        <f t="shared" si="5"/>
        <v>0</v>
      </c>
      <c r="J55" s="473"/>
      <c r="K55" s="485"/>
      <c r="L55" s="476">
        <f t="shared" si="1"/>
        <v>0</v>
      </c>
      <c r="M55" s="485"/>
      <c r="N55" s="476">
        <f t="shared" si="3"/>
        <v>0</v>
      </c>
      <c r="O55" s="476">
        <f t="shared" si="4"/>
        <v>0</v>
      </c>
      <c r="P55" s="241"/>
    </row>
    <row r="56" spans="2:16">
      <c r="B56" s="160" t="str">
        <f t="shared" si="7"/>
        <v/>
      </c>
      <c r="C56" s="470">
        <f>IF(D11="","-",+C55+1)</f>
        <v>2057</v>
      </c>
      <c r="D56" s="481">
        <f>IF(F55+SUM(E$17:E55)=D$10,F55,D$10-SUM(E$17:E55))</f>
        <v>0</v>
      </c>
      <c r="E56" s="482">
        <f t="shared" si="13"/>
        <v>0</v>
      </c>
      <c r="F56" s="483">
        <f t="shared" si="14"/>
        <v>0</v>
      </c>
      <c r="G56" s="484">
        <f t="shared" si="15"/>
        <v>0</v>
      </c>
      <c r="H56" s="453">
        <f t="shared" si="16"/>
        <v>0</v>
      </c>
      <c r="I56" s="473">
        <f t="shared" si="5"/>
        <v>0</v>
      </c>
      <c r="J56" s="473"/>
      <c r="K56" s="485"/>
      <c r="L56" s="476">
        <f t="shared" si="1"/>
        <v>0</v>
      </c>
      <c r="M56" s="485"/>
      <c r="N56" s="476">
        <f t="shared" si="3"/>
        <v>0</v>
      </c>
      <c r="O56" s="476">
        <f t="shared" si="4"/>
        <v>0</v>
      </c>
      <c r="P56" s="241"/>
    </row>
    <row r="57" spans="2:16">
      <c r="B57" s="160" t="str">
        <f t="shared" si="7"/>
        <v/>
      </c>
      <c r="C57" s="470">
        <f>IF(D11="","-",+C56+1)</f>
        <v>2058</v>
      </c>
      <c r="D57" s="481">
        <f>IF(F56+SUM(E$17:E56)=D$10,F56,D$10-SUM(E$17:E56))</f>
        <v>0</v>
      </c>
      <c r="E57" s="482">
        <f t="shared" si="13"/>
        <v>0</v>
      </c>
      <c r="F57" s="483">
        <f t="shared" si="14"/>
        <v>0</v>
      </c>
      <c r="G57" s="484">
        <f t="shared" si="15"/>
        <v>0</v>
      </c>
      <c r="H57" s="453">
        <f t="shared" si="16"/>
        <v>0</v>
      </c>
      <c r="I57" s="473">
        <f t="shared" si="5"/>
        <v>0</v>
      </c>
      <c r="J57" s="473"/>
      <c r="K57" s="485"/>
      <c r="L57" s="476">
        <f t="shared" si="1"/>
        <v>0</v>
      </c>
      <c r="M57" s="485"/>
      <c r="N57" s="476">
        <f t="shared" si="3"/>
        <v>0</v>
      </c>
      <c r="O57" s="476">
        <f t="shared" si="4"/>
        <v>0</v>
      </c>
      <c r="P57" s="241"/>
    </row>
    <row r="58" spans="2:16">
      <c r="B58" s="160" t="str">
        <f t="shared" si="7"/>
        <v/>
      </c>
      <c r="C58" s="470">
        <f>IF(D11="","-",+C57+1)</f>
        <v>2059</v>
      </c>
      <c r="D58" s="481">
        <f>IF(F57+SUM(E$17:E57)=D$10,F57,D$10-SUM(E$17:E57))</f>
        <v>0</v>
      </c>
      <c r="E58" s="482">
        <f t="shared" si="13"/>
        <v>0</v>
      </c>
      <c r="F58" s="483">
        <f t="shared" si="14"/>
        <v>0</v>
      </c>
      <c r="G58" s="484">
        <f t="shared" si="15"/>
        <v>0</v>
      </c>
      <c r="H58" s="453">
        <f t="shared" si="16"/>
        <v>0</v>
      </c>
      <c r="I58" s="473">
        <f t="shared" si="5"/>
        <v>0</v>
      </c>
      <c r="J58" s="473"/>
      <c r="K58" s="485"/>
      <c r="L58" s="476">
        <f t="shared" si="1"/>
        <v>0</v>
      </c>
      <c r="M58" s="485"/>
      <c r="N58" s="476">
        <f t="shared" si="3"/>
        <v>0</v>
      </c>
      <c r="O58" s="476">
        <f t="shared" si="4"/>
        <v>0</v>
      </c>
      <c r="P58" s="241"/>
    </row>
    <row r="59" spans="2:16">
      <c r="B59" s="160" t="str">
        <f t="shared" si="7"/>
        <v/>
      </c>
      <c r="C59" s="470">
        <f>IF(D11="","-",+C58+1)</f>
        <v>2060</v>
      </c>
      <c r="D59" s="481">
        <f>IF(F58+SUM(E$17:E58)=D$10,F58,D$10-SUM(E$17:E58))</f>
        <v>0</v>
      </c>
      <c r="E59" s="482">
        <f t="shared" si="13"/>
        <v>0</v>
      </c>
      <c r="F59" s="483">
        <f t="shared" si="14"/>
        <v>0</v>
      </c>
      <c r="G59" s="484">
        <f t="shared" si="15"/>
        <v>0</v>
      </c>
      <c r="H59" s="453">
        <f t="shared" si="16"/>
        <v>0</v>
      </c>
      <c r="I59" s="473">
        <f t="shared" si="5"/>
        <v>0</v>
      </c>
      <c r="J59" s="473"/>
      <c r="K59" s="485"/>
      <c r="L59" s="476">
        <f t="shared" si="1"/>
        <v>0</v>
      </c>
      <c r="M59" s="485"/>
      <c r="N59" s="476">
        <f t="shared" si="3"/>
        <v>0</v>
      </c>
      <c r="O59" s="476">
        <f t="shared" si="4"/>
        <v>0</v>
      </c>
      <c r="P59" s="241"/>
    </row>
    <row r="60" spans="2:16">
      <c r="B60" s="160" t="str">
        <f t="shared" si="7"/>
        <v/>
      </c>
      <c r="C60" s="470">
        <f>IF(D11="","-",+C59+1)</f>
        <v>2061</v>
      </c>
      <c r="D60" s="481">
        <f>IF(F59+SUM(E$17:E59)=D$10,F59,D$10-SUM(E$17:E59))</f>
        <v>0</v>
      </c>
      <c r="E60" s="482">
        <f t="shared" si="13"/>
        <v>0</v>
      </c>
      <c r="F60" s="483">
        <f t="shared" si="14"/>
        <v>0</v>
      </c>
      <c r="G60" s="484">
        <f t="shared" si="15"/>
        <v>0</v>
      </c>
      <c r="H60" s="453">
        <f t="shared" si="16"/>
        <v>0</v>
      </c>
      <c r="I60" s="473">
        <f t="shared" si="5"/>
        <v>0</v>
      </c>
      <c r="J60" s="473"/>
      <c r="K60" s="485"/>
      <c r="L60" s="476">
        <f t="shared" si="1"/>
        <v>0</v>
      </c>
      <c r="M60" s="485"/>
      <c r="N60" s="476">
        <f t="shared" si="3"/>
        <v>0</v>
      </c>
      <c r="O60" s="476">
        <f t="shared" si="4"/>
        <v>0</v>
      </c>
      <c r="P60" s="241"/>
    </row>
    <row r="61" spans="2:16">
      <c r="B61" s="160" t="str">
        <f t="shared" si="7"/>
        <v/>
      </c>
      <c r="C61" s="470">
        <f>IF(D11="","-",+C60+1)</f>
        <v>2062</v>
      </c>
      <c r="D61" s="481">
        <f>IF(F60+SUM(E$17:E60)=D$10,F60,D$10-SUM(E$17:E60))</f>
        <v>0</v>
      </c>
      <c r="E61" s="482">
        <f t="shared" si="13"/>
        <v>0</v>
      </c>
      <c r="F61" s="483">
        <f t="shared" si="14"/>
        <v>0</v>
      </c>
      <c r="G61" s="484">
        <f t="shared" si="15"/>
        <v>0</v>
      </c>
      <c r="H61" s="453">
        <f t="shared" si="16"/>
        <v>0</v>
      </c>
      <c r="I61" s="473">
        <f t="shared" si="5"/>
        <v>0</v>
      </c>
      <c r="J61" s="473"/>
      <c r="K61" s="485"/>
      <c r="L61" s="476">
        <f t="shared" si="1"/>
        <v>0</v>
      </c>
      <c r="M61" s="485"/>
      <c r="N61" s="476">
        <f t="shared" si="3"/>
        <v>0</v>
      </c>
      <c r="O61" s="476">
        <f t="shared" si="4"/>
        <v>0</v>
      </c>
      <c r="P61" s="241"/>
    </row>
    <row r="62" spans="2:16">
      <c r="B62" s="160" t="str">
        <f t="shared" si="7"/>
        <v/>
      </c>
      <c r="C62" s="470">
        <f>IF(D11="","-",+C61+1)</f>
        <v>2063</v>
      </c>
      <c r="D62" s="481">
        <f>IF(F61+SUM(E$17:E61)=D$10,F61,D$10-SUM(E$17:E61))</f>
        <v>0</v>
      </c>
      <c r="E62" s="482">
        <f t="shared" si="13"/>
        <v>0</v>
      </c>
      <c r="F62" s="483">
        <f t="shared" si="14"/>
        <v>0</v>
      </c>
      <c r="G62" s="484">
        <f t="shared" si="15"/>
        <v>0</v>
      </c>
      <c r="H62" s="453">
        <f t="shared" si="16"/>
        <v>0</v>
      </c>
      <c r="I62" s="473">
        <f t="shared" si="5"/>
        <v>0</v>
      </c>
      <c r="J62" s="473"/>
      <c r="K62" s="485"/>
      <c r="L62" s="476">
        <f t="shared" si="1"/>
        <v>0</v>
      </c>
      <c r="M62" s="485"/>
      <c r="N62" s="476">
        <f t="shared" si="3"/>
        <v>0</v>
      </c>
      <c r="O62" s="476">
        <f t="shared" si="4"/>
        <v>0</v>
      </c>
      <c r="P62" s="241"/>
    </row>
    <row r="63" spans="2:16">
      <c r="B63" s="160" t="str">
        <f t="shared" si="7"/>
        <v/>
      </c>
      <c r="C63" s="470">
        <f>IF(D11="","-",+C62+1)</f>
        <v>2064</v>
      </c>
      <c r="D63" s="481">
        <f>IF(F62+SUM(E$17:E62)=D$10,F62,D$10-SUM(E$17:E62))</f>
        <v>0</v>
      </c>
      <c r="E63" s="482">
        <f t="shared" si="13"/>
        <v>0</v>
      </c>
      <c r="F63" s="483">
        <f t="shared" si="14"/>
        <v>0</v>
      </c>
      <c r="G63" s="484">
        <f t="shared" si="15"/>
        <v>0</v>
      </c>
      <c r="H63" s="453">
        <f t="shared" si="16"/>
        <v>0</v>
      </c>
      <c r="I63" s="473">
        <f t="shared" si="5"/>
        <v>0</v>
      </c>
      <c r="J63" s="473"/>
      <c r="K63" s="485"/>
      <c r="L63" s="476">
        <f t="shared" si="1"/>
        <v>0</v>
      </c>
      <c r="M63" s="485"/>
      <c r="N63" s="476">
        <f t="shared" si="3"/>
        <v>0</v>
      </c>
      <c r="O63" s="476">
        <f t="shared" si="4"/>
        <v>0</v>
      </c>
      <c r="P63" s="241"/>
    </row>
    <row r="64" spans="2:16">
      <c r="B64" s="160" t="str">
        <f t="shared" si="7"/>
        <v/>
      </c>
      <c r="C64" s="470">
        <f>IF(D11="","-",+C63+1)</f>
        <v>2065</v>
      </c>
      <c r="D64" s="481">
        <f>IF(F63+SUM(E$17:E63)=D$10,F63,D$10-SUM(E$17:E63))</f>
        <v>0</v>
      </c>
      <c r="E64" s="482">
        <f t="shared" si="13"/>
        <v>0</v>
      </c>
      <c r="F64" s="483">
        <f t="shared" si="14"/>
        <v>0</v>
      </c>
      <c r="G64" s="484">
        <f t="shared" si="15"/>
        <v>0</v>
      </c>
      <c r="H64" s="453">
        <f t="shared" si="16"/>
        <v>0</v>
      </c>
      <c r="I64" s="473">
        <f t="shared" si="5"/>
        <v>0</v>
      </c>
      <c r="J64" s="473"/>
      <c r="K64" s="485"/>
      <c r="L64" s="476">
        <f t="shared" si="1"/>
        <v>0</v>
      </c>
      <c r="M64" s="485"/>
      <c r="N64" s="476">
        <f t="shared" si="3"/>
        <v>0</v>
      </c>
      <c r="O64" s="476">
        <f t="shared" si="4"/>
        <v>0</v>
      </c>
      <c r="P64" s="241"/>
    </row>
    <row r="65" spans="2:16">
      <c r="B65" s="160" t="str">
        <f t="shared" si="7"/>
        <v/>
      </c>
      <c r="C65" s="470">
        <f>IF(D11="","-",+C64+1)</f>
        <v>2066</v>
      </c>
      <c r="D65" s="481">
        <f>IF(F64+SUM(E$17:E64)=D$10,F64,D$10-SUM(E$17:E64))</f>
        <v>0</v>
      </c>
      <c r="E65" s="482">
        <f t="shared" si="13"/>
        <v>0</v>
      </c>
      <c r="F65" s="483">
        <f t="shared" si="14"/>
        <v>0</v>
      </c>
      <c r="G65" s="484">
        <f t="shared" si="15"/>
        <v>0</v>
      </c>
      <c r="H65" s="453">
        <f t="shared" si="16"/>
        <v>0</v>
      </c>
      <c r="I65" s="473">
        <f t="shared" si="5"/>
        <v>0</v>
      </c>
      <c r="J65" s="473"/>
      <c r="K65" s="485"/>
      <c r="L65" s="476">
        <f t="shared" si="1"/>
        <v>0</v>
      </c>
      <c r="M65" s="485"/>
      <c r="N65" s="476">
        <f t="shared" si="3"/>
        <v>0</v>
      </c>
      <c r="O65" s="476">
        <f t="shared" si="4"/>
        <v>0</v>
      </c>
      <c r="P65" s="241"/>
    </row>
    <row r="66" spans="2:16">
      <c r="B66" s="160" t="str">
        <f t="shared" si="7"/>
        <v/>
      </c>
      <c r="C66" s="470">
        <f>IF(D11="","-",+C65+1)</f>
        <v>2067</v>
      </c>
      <c r="D66" s="481">
        <f>IF(F65+SUM(E$17:E65)=D$10,F65,D$10-SUM(E$17:E65))</f>
        <v>0</v>
      </c>
      <c r="E66" s="482">
        <f t="shared" si="13"/>
        <v>0</v>
      </c>
      <c r="F66" s="483">
        <f t="shared" si="14"/>
        <v>0</v>
      </c>
      <c r="G66" s="484">
        <f t="shared" si="15"/>
        <v>0</v>
      </c>
      <c r="H66" s="453">
        <f t="shared" si="16"/>
        <v>0</v>
      </c>
      <c r="I66" s="473">
        <f t="shared" si="5"/>
        <v>0</v>
      </c>
      <c r="J66" s="473"/>
      <c r="K66" s="485"/>
      <c r="L66" s="476">
        <f t="shared" si="1"/>
        <v>0</v>
      </c>
      <c r="M66" s="485"/>
      <c r="N66" s="476">
        <f t="shared" si="3"/>
        <v>0</v>
      </c>
      <c r="O66" s="476">
        <f t="shared" si="4"/>
        <v>0</v>
      </c>
      <c r="P66" s="241"/>
    </row>
    <row r="67" spans="2:16">
      <c r="B67" s="160" t="str">
        <f t="shared" si="7"/>
        <v/>
      </c>
      <c r="C67" s="470">
        <f>IF(D11="","-",+C66+1)</f>
        <v>2068</v>
      </c>
      <c r="D67" s="481">
        <f>IF(F66+SUM(E$17:E66)=D$10,F66,D$10-SUM(E$17:E66))</f>
        <v>0</v>
      </c>
      <c r="E67" s="482">
        <f t="shared" si="13"/>
        <v>0</v>
      </c>
      <c r="F67" s="483">
        <f t="shared" si="14"/>
        <v>0</v>
      </c>
      <c r="G67" s="484">
        <f t="shared" si="15"/>
        <v>0</v>
      </c>
      <c r="H67" s="453">
        <f t="shared" si="16"/>
        <v>0</v>
      </c>
      <c r="I67" s="473">
        <f t="shared" si="5"/>
        <v>0</v>
      </c>
      <c r="J67" s="473"/>
      <c r="K67" s="485"/>
      <c r="L67" s="476">
        <f t="shared" si="1"/>
        <v>0</v>
      </c>
      <c r="M67" s="485"/>
      <c r="N67" s="476">
        <f t="shared" si="3"/>
        <v>0</v>
      </c>
      <c r="O67" s="476">
        <f t="shared" si="4"/>
        <v>0</v>
      </c>
      <c r="P67" s="241"/>
    </row>
    <row r="68" spans="2:16">
      <c r="B68" s="160" t="str">
        <f t="shared" si="7"/>
        <v/>
      </c>
      <c r="C68" s="470">
        <f>IF(D11="","-",+C67+1)</f>
        <v>2069</v>
      </c>
      <c r="D68" s="481">
        <f>IF(F67+SUM(E$17:E67)=D$10,F67,D$10-SUM(E$17:E67))</f>
        <v>0</v>
      </c>
      <c r="E68" s="482">
        <f t="shared" si="13"/>
        <v>0</v>
      </c>
      <c r="F68" s="483">
        <f t="shared" si="14"/>
        <v>0</v>
      </c>
      <c r="G68" s="484">
        <f t="shared" si="15"/>
        <v>0</v>
      </c>
      <c r="H68" s="453">
        <f t="shared" si="16"/>
        <v>0</v>
      </c>
      <c r="I68" s="473">
        <f t="shared" si="5"/>
        <v>0</v>
      </c>
      <c r="J68" s="473"/>
      <c r="K68" s="485"/>
      <c r="L68" s="476">
        <f t="shared" si="1"/>
        <v>0</v>
      </c>
      <c r="M68" s="485"/>
      <c r="N68" s="476">
        <f t="shared" si="3"/>
        <v>0</v>
      </c>
      <c r="O68" s="476">
        <f t="shared" si="4"/>
        <v>0</v>
      </c>
      <c r="P68" s="241"/>
    </row>
    <row r="69" spans="2:16">
      <c r="B69" s="160" t="str">
        <f t="shared" si="7"/>
        <v/>
      </c>
      <c r="C69" s="470">
        <f>IF(D11="","-",+C68+1)</f>
        <v>2070</v>
      </c>
      <c r="D69" s="481">
        <f>IF(F68+SUM(E$17:E68)=D$10,F68,D$10-SUM(E$17:E68))</f>
        <v>0</v>
      </c>
      <c r="E69" s="482">
        <f t="shared" si="13"/>
        <v>0</v>
      </c>
      <c r="F69" s="483">
        <f t="shared" si="14"/>
        <v>0</v>
      </c>
      <c r="G69" s="484">
        <f t="shared" si="15"/>
        <v>0</v>
      </c>
      <c r="H69" s="453">
        <f t="shared" si="16"/>
        <v>0</v>
      </c>
      <c r="I69" s="473">
        <f t="shared" si="5"/>
        <v>0</v>
      </c>
      <c r="J69" s="473"/>
      <c r="K69" s="485"/>
      <c r="L69" s="476">
        <f t="shared" si="1"/>
        <v>0</v>
      </c>
      <c r="M69" s="485"/>
      <c r="N69" s="476">
        <f t="shared" si="3"/>
        <v>0</v>
      </c>
      <c r="O69" s="476">
        <f t="shared" si="4"/>
        <v>0</v>
      </c>
      <c r="P69" s="241"/>
    </row>
    <row r="70" spans="2:16">
      <c r="B70" s="160" t="str">
        <f t="shared" si="7"/>
        <v/>
      </c>
      <c r="C70" s="470">
        <f>IF(D11="","-",+C69+1)</f>
        <v>2071</v>
      </c>
      <c r="D70" s="481">
        <f>IF(F69+SUM(E$17:E69)=D$10,F69,D$10-SUM(E$17:E69))</f>
        <v>0</v>
      </c>
      <c r="E70" s="482">
        <f t="shared" si="13"/>
        <v>0</v>
      </c>
      <c r="F70" s="483">
        <f t="shared" si="14"/>
        <v>0</v>
      </c>
      <c r="G70" s="484">
        <f t="shared" si="15"/>
        <v>0</v>
      </c>
      <c r="H70" s="453">
        <f t="shared" si="16"/>
        <v>0</v>
      </c>
      <c r="I70" s="473">
        <f t="shared" si="5"/>
        <v>0</v>
      </c>
      <c r="J70" s="473"/>
      <c r="K70" s="485"/>
      <c r="L70" s="476">
        <f t="shared" si="1"/>
        <v>0</v>
      </c>
      <c r="M70" s="485"/>
      <c r="N70" s="476">
        <f t="shared" si="3"/>
        <v>0</v>
      </c>
      <c r="O70" s="476">
        <f t="shared" si="4"/>
        <v>0</v>
      </c>
      <c r="P70" s="241"/>
    </row>
    <row r="71" spans="2:16">
      <c r="B71" s="160" t="str">
        <f t="shared" si="7"/>
        <v/>
      </c>
      <c r="C71" s="470">
        <f>IF(D11="","-",+C70+1)</f>
        <v>2072</v>
      </c>
      <c r="D71" s="481">
        <f>IF(F70+SUM(E$17:E70)=D$10,F70,D$10-SUM(E$17:E70))</f>
        <v>0</v>
      </c>
      <c r="E71" s="482">
        <f t="shared" si="13"/>
        <v>0</v>
      </c>
      <c r="F71" s="483">
        <f t="shared" si="14"/>
        <v>0</v>
      </c>
      <c r="G71" s="484">
        <f t="shared" si="15"/>
        <v>0</v>
      </c>
      <c r="H71" s="453">
        <f t="shared" si="16"/>
        <v>0</v>
      </c>
      <c r="I71" s="473">
        <f t="shared" si="5"/>
        <v>0</v>
      </c>
      <c r="J71" s="473"/>
      <c r="K71" s="485"/>
      <c r="L71" s="476">
        <f t="shared" si="1"/>
        <v>0</v>
      </c>
      <c r="M71" s="485"/>
      <c r="N71" s="476">
        <f t="shared" si="3"/>
        <v>0</v>
      </c>
      <c r="O71" s="476">
        <f t="shared" si="4"/>
        <v>0</v>
      </c>
      <c r="P71" s="241"/>
    </row>
    <row r="72" spans="2:16" ht="13.5" thickBot="1">
      <c r="B72" s="160" t="str">
        <f t="shared" si="7"/>
        <v/>
      </c>
      <c r="C72" s="487">
        <f>IF(D11="","-",+C71+1)</f>
        <v>2073</v>
      </c>
      <c r="D72" s="610">
        <f>IF(F71+SUM(E$17:E71)=D$10,F71,D$10-SUM(E$17:E71))</f>
        <v>0</v>
      </c>
      <c r="E72" s="489">
        <f>IF(+I$14&lt;F71,I$14,D72)</f>
        <v>0</v>
      </c>
      <c r="F72" s="488">
        <f>+D72-E72</f>
        <v>0</v>
      </c>
      <c r="G72" s="542">
        <f>(D72+F72)/2*I$12+E72</f>
        <v>0</v>
      </c>
      <c r="H72" s="433">
        <f>+(D72+F72)/2*I$13+E72</f>
        <v>0</v>
      </c>
      <c r="I72" s="491">
        <f>H72-G72</f>
        <v>0</v>
      </c>
      <c r="J72" s="473"/>
      <c r="K72" s="492"/>
      <c r="L72" s="493">
        <f t="shared" si="1"/>
        <v>0</v>
      </c>
      <c r="M72" s="492"/>
      <c r="N72" s="493">
        <f t="shared" si="3"/>
        <v>0</v>
      </c>
      <c r="O72" s="493">
        <f t="shared" si="4"/>
        <v>0</v>
      </c>
      <c r="P72" s="241"/>
    </row>
    <row r="73" spans="2:16">
      <c r="C73" s="345" t="s">
        <v>77</v>
      </c>
      <c r="D73" s="346"/>
      <c r="E73" s="346">
        <f>SUM(E17:E72)</f>
        <v>1165593.0100000002</v>
      </c>
      <c r="F73" s="346"/>
      <c r="G73" s="346">
        <f>SUM(G17:G72)</f>
        <v>3744556.4728729478</v>
      </c>
      <c r="H73" s="346">
        <f>SUM(H17:H72)</f>
        <v>3744556.4728729478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23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138269.97206377087</v>
      </c>
      <c r="N87" s="506">
        <f>IF(J92&lt;D11,0,VLOOKUP(J92,C17:O72,11))</f>
        <v>138269.97206377087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145110.72961001651</v>
      </c>
      <c r="N88" s="510">
        <f>IF(J92&lt;D11,0,VLOOKUP(J92,C99:P154,7))</f>
        <v>145110.72961001651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Elk City 138KV Move Load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6840.7575462456443</v>
      </c>
      <c r="N89" s="515">
        <f>+N88-N87</f>
        <v>6840.7575462456443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TP2011110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524">
        <v>1165593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v>2018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v>5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28429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2018</v>
      </c>
      <c r="D99" s="582">
        <v>0</v>
      </c>
      <c r="E99" s="606">
        <v>20674.5</v>
      </c>
      <c r="F99" s="582">
        <v>1757325.5</v>
      </c>
      <c r="G99" s="606">
        <v>878662.75</v>
      </c>
      <c r="H99" s="585">
        <v>110944.41567094853</v>
      </c>
      <c r="I99" s="605">
        <v>110944.41567094853</v>
      </c>
      <c r="J99" s="476">
        <f>+I99-H99</f>
        <v>0</v>
      </c>
      <c r="K99" s="476"/>
      <c r="L99" s="475">
        <f>+H99</f>
        <v>110944.41567094853</v>
      </c>
      <c r="M99" s="475">
        <f t="shared" ref="M99" si="17">IF(L99&lt;&gt;0,+H99-L99,0)</f>
        <v>0</v>
      </c>
      <c r="N99" s="475">
        <f>+I99</f>
        <v>110944.41567094853</v>
      </c>
      <c r="O99" s="475">
        <f t="shared" ref="O99" si="18">IF(N99&lt;&gt;0,+I99-N99,0)</f>
        <v>0</v>
      </c>
      <c r="P99" s="475">
        <f t="shared" ref="P99" si="19">+O99-M99</f>
        <v>0</v>
      </c>
    </row>
    <row r="100" spans="1:16">
      <c r="B100" s="160" t="str">
        <f>IF(D100=F99,"","IU")</f>
        <v>IU</v>
      </c>
      <c r="C100" s="470">
        <f>IF(D93="","-",+C99+1)</f>
        <v>2019</v>
      </c>
      <c r="D100" s="576">
        <v>1155505.5</v>
      </c>
      <c r="E100" s="577">
        <v>28687</v>
      </c>
      <c r="F100" s="576">
        <v>1126818.5</v>
      </c>
      <c r="G100" s="577">
        <v>1141162</v>
      </c>
      <c r="H100" s="600">
        <v>146356.80823022424</v>
      </c>
      <c r="I100" s="576">
        <v>146356.80823022424</v>
      </c>
      <c r="J100" s="476">
        <f t="shared" ref="J100:J130" si="20">+I100-H100</f>
        <v>0</v>
      </c>
      <c r="K100" s="476"/>
      <c r="L100" s="474">
        <f>H100</f>
        <v>146356.80823022424</v>
      </c>
      <c r="M100" s="347">
        <f>IF(L100&lt;&gt;0,+H100-L100,0)</f>
        <v>0</v>
      </c>
      <c r="N100" s="474">
        <f>I100</f>
        <v>146356.80823022424</v>
      </c>
      <c r="O100" s="476">
        <f t="shared" ref="O100:O130" si="21">IF(N100&lt;&gt;0,+I100-N100,0)</f>
        <v>0</v>
      </c>
      <c r="P100" s="476">
        <f t="shared" ref="P100:P130" si="22">+O100-M100</f>
        <v>0</v>
      </c>
    </row>
    <row r="101" spans="1:16">
      <c r="B101" s="160" t="str">
        <f t="shared" ref="B101:B154" si="23">IF(D101=F100,"","IU")</f>
        <v>IU</v>
      </c>
      <c r="C101" s="470">
        <f>IF(D93="","-",+C100+1)</f>
        <v>2020</v>
      </c>
      <c r="D101" s="576">
        <v>1116231.5</v>
      </c>
      <c r="E101" s="577">
        <v>27107</v>
      </c>
      <c r="F101" s="576">
        <v>1089124.5</v>
      </c>
      <c r="G101" s="577">
        <v>1102678</v>
      </c>
      <c r="H101" s="600">
        <v>154242.74183680658</v>
      </c>
      <c r="I101" s="576">
        <v>154242.74183680658</v>
      </c>
      <c r="J101" s="476">
        <f t="shared" si="20"/>
        <v>0</v>
      </c>
      <c r="K101" s="476"/>
      <c r="L101" s="474">
        <f>H101</f>
        <v>154242.74183680658</v>
      </c>
      <c r="M101" s="347">
        <f>IF(L101&lt;&gt;0,+H101-L101,0)</f>
        <v>0</v>
      </c>
      <c r="N101" s="474">
        <f>I101</f>
        <v>154242.74183680658</v>
      </c>
      <c r="O101" s="476">
        <f t="shared" si="21"/>
        <v>0</v>
      </c>
      <c r="P101" s="476">
        <f t="shared" si="22"/>
        <v>0</v>
      </c>
    </row>
    <row r="102" spans="1:16">
      <c r="B102" s="160" t="str">
        <f t="shared" si="23"/>
        <v/>
      </c>
      <c r="C102" s="470">
        <f>IF(D93="","-",+C101+1)</f>
        <v>2021</v>
      </c>
      <c r="D102" s="576">
        <v>1089124.5</v>
      </c>
      <c r="E102" s="577">
        <v>28429</v>
      </c>
      <c r="F102" s="576">
        <v>1060695.5</v>
      </c>
      <c r="G102" s="577">
        <v>1074910</v>
      </c>
      <c r="H102" s="600">
        <v>150746.01115745076</v>
      </c>
      <c r="I102" s="576">
        <v>150746.01115745076</v>
      </c>
      <c r="J102" s="476">
        <f t="shared" si="20"/>
        <v>0</v>
      </c>
      <c r="K102" s="476"/>
      <c r="L102" s="474">
        <f>H102</f>
        <v>150746.01115745076</v>
      </c>
      <c r="M102" s="347">
        <f>IF(L102&lt;&gt;0,+H102-L102,0)</f>
        <v>0</v>
      </c>
      <c r="N102" s="474">
        <f>I102</f>
        <v>150746.01115745076</v>
      </c>
      <c r="O102" s="476">
        <f t="shared" ref="O102" si="24">IF(N102&lt;&gt;0,+I102-N102,0)</f>
        <v>0</v>
      </c>
      <c r="P102" s="476">
        <f t="shared" ref="P102" si="25">+O102-M102</f>
        <v>0</v>
      </c>
    </row>
    <row r="103" spans="1:16">
      <c r="B103" s="160" t="str">
        <f t="shared" si="23"/>
        <v/>
      </c>
      <c r="C103" s="631">
        <f>IF(D93="","-",+C102+1)</f>
        <v>2022</v>
      </c>
      <c r="D103" s="345">
        <v>1060695.5</v>
      </c>
      <c r="E103" s="482">
        <v>29887</v>
      </c>
      <c r="F103" s="483">
        <v>1030808.5</v>
      </c>
      <c r="G103" s="483">
        <v>1045752</v>
      </c>
      <c r="H103" s="611">
        <v>145110.72961001651</v>
      </c>
      <c r="I103" s="612">
        <v>145110.72961001651</v>
      </c>
      <c r="J103" s="476">
        <f t="shared" si="20"/>
        <v>0</v>
      </c>
      <c r="K103" s="476"/>
      <c r="L103" s="485"/>
      <c r="M103" s="476">
        <f t="shared" ref="M103:M130" si="26">IF(L103&lt;&gt;0,+H103-L103,0)</f>
        <v>0</v>
      </c>
      <c r="N103" s="485"/>
      <c r="O103" s="476">
        <f t="shared" si="21"/>
        <v>0</v>
      </c>
      <c r="P103" s="476">
        <f t="shared" si="22"/>
        <v>0</v>
      </c>
    </row>
    <row r="104" spans="1:16">
      <c r="B104" s="160" t="str">
        <f t="shared" si="23"/>
        <v/>
      </c>
      <c r="C104" s="470">
        <f>IF(D93="","-",+C103+1)</f>
        <v>2023</v>
      </c>
      <c r="D104" s="345">
        <f>IF(F103+SUM(E$99:E103)=D$92,F103,D$92-SUM(E$99:E103))</f>
        <v>1030808.5</v>
      </c>
      <c r="E104" s="482">
        <f t="shared" ref="E104:E154" si="27">IF(+J$96&lt;F103,J$96,D104)</f>
        <v>28429</v>
      </c>
      <c r="F104" s="483">
        <f t="shared" ref="F104:F154" si="28">+D104-E104</f>
        <v>1002379.5</v>
      </c>
      <c r="G104" s="483">
        <f t="shared" ref="G104:G154" si="29">+(F104+D104)/2</f>
        <v>1016594</v>
      </c>
      <c r="H104" s="611">
        <f t="shared" ref="H104:H154" si="30">+J$94*G104+E104</f>
        <v>144110.07063902792</v>
      </c>
      <c r="I104" s="612">
        <f t="shared" ref="I104:I154" si="31">+J$95*G104+E104</f>
        <v>144110.07063902792</v>
      </c>
      <c r="J104" s="476">
        <f t="shared" si="20"/>
        <v>0</v>
      </c>
      <c r="K104" s="476"/>
      <c r="L104" s="485"/>
      <c r="M104" s="476">
        <f t="shared" si="26"/>
        <v>0</v>
      </c>
      <c r="N104" s="485"/>
      <c r="O104" s="476">
        <f t="shared" si="21"/>
        <v>0</v>
      </c>
      <c r="P104" s="476">
        <f t="shared" si="22"/>
        <v>0</v>
      </c>
    </row>
    <row r="105" spans="1:16">
      <c r="B105" s="160" t="str">
        <f t="shared" si="23"/>
        <v/>
      </c>
      <c r="C105" s="470">
        <f>IF(D93="","-",+C104+1)</f>
        <v>2024</v>
      </c>
      <c r="D105" s="345">
        <f>IF(F104+SUM(E$99:E104)=D$92,F104,D$92-SUM(E$99:E104))</f>
        <v>1002379.5</v>
      </c>
      <c r="E105" s="482">
        <f t="shared" si="27"/>
        <v>28429</v>
      </c>
      <c r="F105" s="483">
        <f t="shared" si="28"/>
        <v>973950.5</v>
      </c>
      <c r="G105" s="483">
        <f t="shared" si="29"/>
        <v>988165</v>
      </c>
      <c r="H105" s="611">
        <f t="shared" si="30"/>
        <v>140875.05532593644</v>
      </c>
      <c r="I105" s="612">
        <f t="shared" si="31"/>
        <v>140875.05532593644</v>
      </c>
      <c r="J105" s="476">
        <f t="shared" si="20"/>
        <v>0</v>
      </c>
      <c r="K105" s="476"/>
      <c r="L105" s="485"/>
      <c r="M105" s="476">
        <f t="shared" si="26"/>
        <v>0</v>
      </c>
      <c r="N105" s="485"/>
      <c r="O105" s="476">
        <f t="shared" si="21"/>
        <v>0</v>
      </c>
      <c r="P105" s="476">
        <f t="shared" si="22"/>
        <v>0</v>
      </c>
    </row>
    <row r="106" spans="1:16">
      <c r="B106" s="160" t="str">
        <f t="shared" si="23"/>
        <v/>
      </c>
      <c r="C106" s="470">
        <f>IF(D93="","-",+C105+1)</f>
        <v>2025</v>
      </c>
      <c r="D106" s="345">
        <f>IF(F105+SUM(E$99:E105)=D$92,F105,D$92-SUM(E$99:E105))</f>
        <v>973950.5</v>
      </c>
      <c r="E106" s="482">
        <f t="shared" si="27"/>
        <v>28429</v>
      </c>
      <c r="F106" s="483">
        <f t="shared" si="28"/>
        <v>945521.5</v>
      </c>
      <c r="G106" s="483">
        <f t="shared" si="29"/>
        <v>959736</v>
      </c>
      <c r="H106" s="611">
        <f t="shared" si="30"/>
        <v>137640.04001284495</v>
      </c>
      <c r="I106" s="612">
        <f t="shared" si="31"/>
        <v>137640.04001284495</v>
      </c>
      <c r="J106" s="476">
        <f t="shared" si="20"/>
        <v>0</v>
      </c>
      <c r="K106" s="476"/>
      <c r="L106" s="485"/>
      <c r="M106" s="476">
        <f t="shared" si="26"/>
        <v>0</v>
      </c>
      <c r="N106" s="485"/>
      <c r="O106" s="476">
        <f t="shared" si="21"/>
        <v>0</v>
      </c>
      <c r="P106" s="476">
        <f t="shared" si="22"/>
        <v>0</v>
      </c>
    </row>
    <row r="107" spans="1:16">
      <c r="B107" s="160" t="str">
        <f t="shared" si="23"/>
        <v/>
      </c>
      <c r="C107" s="470">
        <f>IF(D93="","-",+C106+1)</f>
        <v>2026</v>
      </c>
      <c r="D107" s="345">
        <f>IF(F106+SUM(E$99:E106)=D$92,F106,D$92-SUM(E$99:E106))</f>
        <v>945521.5</v>
      </c>
      <c r="E107" s="482">
        <f t="shared" si="27"/>
        <v>28429</v>
      </c>
      <c r="F107" s="483">
        <f t="shared" si="28"/>
        <v>917092.5</v>
      </c>
      <c r="G107" s="483">
        <f t="shared" si="29"/>
        <v>931307</v>
      </c>
      <c r="H107" s="611">
        <f t="shared" si="30"/>
        <v>134405.02469975347</v>
      </c>
      <c r="I107" s="612">
        <f t="shared" si="31"/>
        <v>134405.02469975347</v>
      </c>
      <c r="J107" s="476">
        <f t="shared" si="20"/>
        <v>0</v>
      </c>
      <c r="K107" s="476"/>
      <c r="L107" s="485"/>
      <c r="M107" s="476">
        <f t="shared" si="26"/>
        <v>0</v>
      </c>
      <c r="N107" s="485"/>
      <c r="O107" s="476">
        <f t="shared" si="21"/>
        <v>0</v>
      </c>
      <c r="P107" s="476">
        <f t="shared" si="22"/>
        <v>0</v>
      </c>
    </row>
    <row r="108" spans="1:16">
      <c r="B108" s="160" t="str">
        <f t="shared" si="23"/>
        <v/>
      </c>
      <c r="C108" s="470">
        <f>IF(D93="","-",+C107+1)</f>
        <v>2027</v>
      </c>
      <c r="D108" s="345">
        <f>IF(F107+SUM(E$99:E107)=D$92,F107,D$92-SUM(E$99:E107))</f>
        <v>917092.5</v>
      </c>
      <c r="E108" s="482">
        <f t="shared" si="27"/>
        <v>28429</v>
      </c>
      <c r="F108" s="483">
        <f t="shared" si="28"/>
        <v>888663.5</v>
      </c>
      <c r="G108" s="483">
        <f t="shared" si="29"/>
        <v>902878</v>
      </c>
      <c r="H108" s="611">
        <f t="shared" si="30"/>
        <v>131170.00938666199</v>
      </c>
      <c r="I108" s="612">
        <f t="shared" si="31"/>
        <v>131170.00938666199</v>
      </c>
      <c r="J108" s="476">
        <f t="shared" si="20"/>
        <v>0</v>
      </c>
      <c r="K108" s="476"/>
      <c r="L108" s="485"/>
      <c r="M108" s="476">
        <f t="shared" si="26"/>
        <v>0</v>
      </c>
      <c r="N108" s="485"/>
      <c r="O108" s="476">
        <f t="shared" si="21"/>
        <v>0</v>
      </c>
      <c r="P108" s="476">
        <f t="shared" si="22"/>
        <v>0</v>
      </c>
    </row>
    <row r="109" spans="1:16">
      <c r="B109" s="160" t="str">
        <f t="shared" si="23"/>
        <v/>
      </c>
      <c r="C109" s="470">
        <f>IF(D93="","-",+C108+1)</f>
        <v>2028</v>
      </c>
      <c r="D109" s="345">
        <f>IF(F108+SUM(E$99:E108)=D$92,F108,D$92-SUM(E$99:E108))</f>
        <v>888663.5</v>
      </c>
      <c r="E109" s="482">
        <f t="shared" si="27"/>
        <v>28429</v>
      </c>
      <c r="F109" s="483">
        <f t="shared" si="28"/>
        <v>860234.5</v>
      </c>
      <c r="G109" s="483">
        <f t="shared" si="29"/>
        <v>874449</v>
      </c>
      <c r="H109" s="611">
        <f t="shared" si="30"/>
        <v>127934.99407357049</v>
      </c>
      <c r="I109" s="612">
        <f t="shared" si="31"/>
        <v>127934.99407357049</v>
      </c>
      <c r="J109" s="476">
        <f t="shared" si="20"/>
        <v>0</v>
      </c>
      <c r="K109" s="476"/>
      <c r="L109" s="485"/>
      <c r="M109" s="476">
        <f t="shared" si="26"/>
        <v>0</v>
      </c>
      <c r="N109" s="485"/>
      <c r="O109" s="476">
        <f t="shared" si="21"/>
        <v>0</v>
      </c>
      <c r="P109" s="476">
        <f t="shared" si="22"/>
        <v>0</v>
      </c>
    </row>
    <row r="110" spans="1:16">
      <c r="B110" s="160" t="str">
        <f t="shared" si="23"/>
        <v/>
      </c>
      <c r="C110" s="470">
        <f>IF(D93="","-",+C109+1)</f>
        <v>2029</v>
      </c>
      <c r="D110" s="345">
        <f>IF(F109+SUM(E$99:E109)=D$92,F109,D$92-SUM(E$99:E109))</f>
        <v>860234.5</v>
      </c>
      <c r="E110" s="482">
        <f t="shared" si="27"/>
        <v>28429</v>
      </c>
      <c r="F110" s="483">
        <f t="shared" si="28"/>
        <v>831805.5</v>
      </c>
      <c r="G110" s="483">
        <f t="shared" si="29"/>
        <v>846020</v>
      </c>
      <c r="H110" s="611">
        <f t="shared" si="30"/>
        <v>124699.978760479</v>
      </c>
      <c r="I110" s="612">
        <f t="shared" si="31"/>
        <v>124699.978760479</v>
      </c>
      <c r="J110" s="476">
        <f t="shared" si="20"/>
        <v>0</v>
      </c>
      <c r="K110" s="476"/>
      <c r="L110" s="485"/>
      <c r="M110" s="476">
        <f t="shared" si="26"/>
        <v>0</v>
      </c>
      <c r="N110" s="485"/>
      <c r="O110" s="476">
        <f t="shared" si="21"/>
        <v>0</v>
      </c>
      <c r="P110" s="476">
        <f t="shared" si="22"/>
        <v>0</v>
      </c>
    </row>
    <row r="111" spans="1:16">
      <c r="B111" s="160" t="str">
        <f t="shared" si="23"/>
        <v/>
      </c>
      <c r="C111" s="470">
        <f>IF(D93="","-",+C110+1)</f>
        <v>2030</v>
      </c>
      <c r="D111" s="345">
        <f>IF(F110+SUM(E$99:E110)=D$92,F110,D$92-SUM(E$99:E110))</f>
        <v>831805.5</v>
      </c>
      <c r="E111" s="482">
        <f t="shared" si="27"/>
        <v>28429</v>
      </c>
      <c r="F111" s="483">
        <f t="shared" si="28"/>
        <v>803376.5</v>
      </c>
      <c r="G111" s="483">
        <f t="shared" si="29"/>
        <v>817591</v>
      </c>
      <c r="H111" s="611">
        <f t="shared" si="30"/>
        <v>121464.96344738752</v>
      </c>
      <c r="I111" s="612">
        <f t="shared" si="31"/>
        <v>121464.96344738752</v>
      </c>
      <c r="J111" s="476">
        <f t="shared" si="20"/>
        <v>0</v>
      </c>
      <c r="K111" s="476"/>
      <c r="L111" s="485"/>
      <c r="M111" s="476">
        <f t="shared" si="26"/>
        <v>0</v>
      </c>
      <c r="N111" s="485"/>
      <c r="O111" s="476">
        <f t="shared" si="21"/>
        <v>0</v>
      </c>
      <c r="P111" s="476">
        <f t="shared" si="22"/>
        <v>0</v>
      </c>
    </row>
    <row r="112" spans="1:16">
      <c r="B112" s="160" t="str">
        <f t="shared" si="23"/>
        <v/>
      </c>
      <c r="C112" s="470">
        <f>IF(D93="","-",+C111+1)</f>
        <v>2031</v>
      </c>
      <c r="D112" s="345">
        <f>IF(F111+SUM(E$99:E111)=D$92,F111,D$92-SUM(E$99:E111))</f>
        <v>803376.5</v>
      </c>
      <c r="E112" s="482">
        <f t="shared" si="27"/>
        <v>28429</v>
      </c>
      <c r="F112" s="483">
        <f t="shared" si="28"/>
        <v>774947.5</v>
      </c>
      <c r="G112" s="483">
        <f t="shared" si="29"/>
        <v>789162</v>
      </c>
      <c r="H112" s="611">
        <f t="shared" si="30"/>
        <v>118229.94813429604</v>
      </c>
      <c r="I112" s="612">
        <f t="shared" si="31"/>
        <v>118229.94813429604</v>
      </c>
      <c r="J112" s="476">
        <f t="shared" si="20"/>
        <v>0</v>
      </c>
      <c r="K112" s="476"/>
      <c r="L112" s="485"/>
      <c r="M112" s="476">
        <f t="shared" si="26"/>
        <v>0</v>
      </c>
      <c r="N112" s="485"/>
      <c r="O112" s="476">
        <f t="shared" si="21"/>
        <v>0</v>
      </c>
      <c r="P112" s="476">
        <f t="shared" si="22"/>
        <v>0</v>
      </c>
    </row>
    <row r="113" spans="2:16">
      <c r="B113" s="160" t="str">
        <f t="shared" si="23"/>
        <v/>
      </c>
      <c r="C113" s="470">
        <f>IF(D93="","-",+C112+1)</f>
        <v>2032</v>
      </c>
      <c r="D113" s="345">
        <f>IF(F112+SUM(E$99:E112)=D$92,F112,D$92-SUM(E$99:E112))</f>
        <v>774947.5</v>
      </c>
      <c r="E113" s="482">
        <f t="shared" si="27"/>
        <v>28429</v>
      </c>
      <c r="F113" s="483">
        <f t="shared" si="28"/>
        <v>746518.5</v>
      </c>
      <c r="G113" s="483">
        <f t="shared" si="29"/>
        <v>760733</v>
      </c>
      <c r="H113" s="611">
        <f t="shared" si="30"/>
        <v>114994.93282120455</v>
      </c>
      <c r="I113" s="612">
        <f t="shared" si="31"/>
        <v>114994.93282120455</v>
      </c>
      <c r="J113" s="476">
        <f t="shared" si="20"/>
        <v>0</v>
      </c>
      <c r="K113" s="476"/>
      <c r="L113" s="485"/>
      <c r="M113" s="476">
        <f t="shared" si="26"/>
        <v>0</v>
      </c>
      <c r="N113" s="485"/>
      <c r="O113" s="476">
        <f t="shared" si="21"/>
        <v>0</v>
      </c>
      <c r="P113" s="476">
        <f t="shared" si="22"/>
        <v>0</v>
      </c>
    </row>
    <row r="114" spans="2:16">
      <c r="B114" s="160" t="str">
        <f t="shared" si="23"/>
        <v/>
      </c>
      <c r="C114" s="470">
        <f>IF(D93="","-",+C113+1)</f>
        <v>2033</v>
      </c>
      <c r="D114" s="345">
        <f>IF(F113+SUM(E$99:E113)=D$92,F113,D$92-SUM(E$99:E113))</f>
        <v>746518.5</v>
      </c>
      <c r="E114" s="482">
        <f t="shared" si="27"/>
        <v>28429</v>
      </c>
      <c r="F114" s="483">
        <f t="shared" si="28"/>
        <v>718089.5</v>
      </c>
      <c r="G114" s="483">
        <f t="shared" si="29"/>
        <v>732304</v>
      </c>
      <c r="H114" s="611">
        <f t="shared" si="30"/>
        <v>111759.91750811307</v>
      </c>
      <c r="I114" s="612">
        <f t="shared" si="31"/>
        <v>111759.91750811307</v>
      </c>
      <c r="J114" s="476">
        <f t="shared" si="20"/>
        <v>0</v>
      </c>
      <c r="K114" s="476"/>
      <c r="L114" s="485"/>
      <c r="M114" s="476">
        <f t="shared" si="26"/>
        <v>0</v>
      </c>
      <c r="N114" s="485"/>
      <c r="O114" s="476">
        <f t="shared" si="21"/>
        <v>0</v>
      </c>
      <c r="P114" s="476">
        <f t="shared" si="22"/>
        <v>0</v>
      </c>
    </row>
    <row r="115" spans="2:16">
      <c r="B115" s="160" t="str">
        <f t="shared" si="23"/>
        <v/>
      </c>
      <c r="C115" s="470">
        <f>IF(D93="","-",+C114+1)</f>
        <v>2034</v>
      </c>
      <c r="D115" s="345">
        <f>IF(F114+SUM(E$99:E114)=D$92,F114,D$92-SUM(E$99:E114))</f>
        <v>718089.5</v>
      </c>
      <c r="E115" s="482">
        <f t="shared" si="27"/>
        <v>28429</v>
      </c>
      <c r="F115" s="483">
        <f t="shared" si="28"/>
        <v>689660.5</v>
      </c>
      <c r="G115" s="483">
        <f t="shared" si="29"/>
        <v>703875</v>
      </c>
      <c r="H115" s="611">
        <f t="shared" si="30"/>
        <v>108524.90219502158</v>
      </c>
      <c r="I115" s="612">
        <f t="shared" si="31"/>
        <v>108524.90219502158</v>
      </c>
      <c r="J115" s="476">
        <f t="shared" si="20"/>
        <v>0</v>
      </c>
      <c r="K115" s="476"/>
      <c r="L115" s="485"/>
      <c r="M115" s="476">
        <f t="shared" si="26"/>
        <v>0</v>
      </c>
      <c r="N115" s="485"/>
      <c r="O115" s="476">
        <f t="shared" si="21"/>
        <v>0</v>
      </c>
      <c r="P115" s="476">
        <f t="shared" si="22"/>
        <v>0</v>
      </c>
    </row>
    <row r="116" spans="2:16">
      <c r="B116" s="160" t="str">
        <f t="shared" si="23"/>
        <v/>
      </c>
      <c r="C116" s="470">
        <f>IF(D93="","-",+C115+1)</f>
        <v>2035</v>
      </c>
      <c r="D116" s="345">
        <f>IF(F115+SUM(E$99:E115)=D$92,F115,D$92-SUM(E$99:E115))</f>
        <v>689660.5</v>
      </c>
      <c r="E116" s="482">
        <f t="shared" si="27"/>
        <v>28429</v>
      </c>
      <c r="F116" s="483">
        <f t="shared" si="28"/>
        <v>661231.5</v>
      </c>
      <c r="G116" s="483">
        <f t="shared" si="29"/>
        <v>675446</v>
      </c>
      <c r="H116" s="611">
        <f t="shared" si="30"/>
        <v>105289.8868819301</v>
      </c>
      <c r="I116" s="612">
        <f t="shared" si="31"/>
        <v>105289.8868819301</v>
      </c>
      <c r="J116" s="476">
        <f t="shared" si="20"/>
        <v>0</v>
      </c>
      <c r="K116" s="476"/>
      <c r="L116" s="485"/>
      <c r="M116" s="476">
        <f t="shared" si="26"/>
        <v>0</v>
      </c>
      <c r="N116" s="485"/>
      <c r="O116" s="476">
        <f t="shared" si="21"/>
        <v>0</v>
      </c>
      <c r="P116" s="476">
        <f t="shared" si="22"/>
        <v>0</v>
      </c>
    </row>
    <row r="117" spans="2:16">
      <c r="B117" s="160" t="str">
        <f t="shared" si="23"/>
        <v/>
      </c>
      <c r="C117" s="470">
        <f>IF(D93="","-",+C116+1)</f>
        <v>2036</v>
      </c>
      <c r="D117" s="345">
        <f>IF(F116+SUM(E$99:E116)=D$92,F116,D$92-SUM(E$99:E116))</f>
        <v>661231.5</v>
      </c>
      <c r="E117" s="482">
        <f t="shared" si="27"/>
        <v>28429</v>
      </c>
      <c r="F117" s="483">
        <f t="shared" si="28"/>
        <v>632802.5</v>
      </c>
      <c r="G117" s="483">
        <f t="shared" si="29"/>
        <v>647017</v>
      </c>
      <c r="H117" s="611">
        <f t="shared" si="30"/>
        <v>102054.87156883861</v>
      </c>
      <c r="I117" s="612">
        <f t="shared" si="31"/>
        <v>102054.87156883861</v>
      </c>
      <c r="J117" s="476">
        <f t="shared" si="20"/>
        <v>0</v>
      </c>
      <c r="K117" s="476"/>
      <c r="L117" s="485"/>
      <c r="M117" s="476">
        <f t="shared" si="26"/>
        <v>0</v>
      </c>
      <c r="N117" s="485"/>
      <c r="O117" s="476">
        <f t="shared" si="21"/>
        <v>0</v>
      </c>
      <c r="P117" s="476">
        <f t="shared" si="22"/>
        <v>0</v>
      </c>
    </row>
    <row r="118" spans="2:16">
      <c r="B118" s="160" t="str">
        <f t="shared" si="23"/>
        <v/>
      </c>
      <c r="C118" s="470">
        <f>IF(D93="","-",+C117+1)</f>
        <v>2037</v>
      </c>
      <c r="D118" s="345">
        <f>IF(F117+SUM(E$99:E117)=D$92,F117,D$92-SUM(E$99:E117))</f>
        <v>632802.5</v>
      </c>
      <c r="E118" s="482">
        <f t="shared" si="27"/>
        <v>28429</v>
      </c>
      <c r="F118" s="483">
        <f t="shared" si="28"/>
        <v>604373.5</v>
      </c>
      <c r="G118" s="483">
        <f t="shared" si="29"/>
        <v>618588</v>
      </c>
      <c r="H118" s="611">
        <f t="shared" si="30"/>
        <v>98819.85625574713</v>
      </c>
      <c r="I118" s="612">
        <f t="shared" si="31"/>
        <v>98819.85625574713</v>
      </c>
      <c r="J118" s="476">
        <f t="shared" si="20"/>
        <v>0</v>
      </c>
      <c r="K118" s="476"/>
      <c r="L118" s="485"/>
      <c r="M118" s="476">
        <f t="shared" si="26"/>
        <v>0</v>
      </c>
      <c r="N118" s="485"/>
      <c r="O118" s="476">
        <f t="shared" si="21"/>
        <v>0</v>
      </c>
      <c r="P118" s="476">
        <f t="shared" si="22"/>
        <v>0</v>
      </c>
    </row>
    <row r="119" spans="2:16">
      <c r="B119" s="160" t="str">
        <f t="shared" si="23"/>
        <v/>
      </c>
      <c r="C119" s="470">
        <f>IF(D93="","-",+C118+1)</f>
        <v>2038</v>
      </c>
      <c r="D119" s="345">
        <f>IF(F118+SUM(E$99:E118)=D$92,F118,D$92-SUM(E$99:E118))</f>
        <v>604373.5</v>
      </c>
      <c r="E119" s="482">
        <f t="shared" si="27"/>
        <v>28429</v>
      </c>
      <c r="F119" s="483">
        <f t="shared" si="28"/>
        <v>575944.5</v>
      </c>
      <c r="G119" s="483">
        <f t="shared" si="29"/>
        <v>590159</v>
      </c>
      <c r="H119" s="611">
        <f t="shared" si="30"/>
        <v>95584.840942655646</v>
      </c>
      <c r="I119" s="612">
        <f t="shared" si="31"/>
        <v>95584.840942655646</v>
      </c>
      <c r="J119" s="476">
        <f t="shared" si="20"/>
        <v>0</v>
      </c>
      <c r="K119" s="476"/>
      <c r="L119" s="485"/>
      <c r="M119" s="476">
        <f t="shared" si="26"/>
        <v>0</v>
      </c>
      <c r="N119" s="485"/>
      <c r="O119" s="476">
        <f t="shared" si="21"/>
        <v>0</v>
      </c>
      <c r="P119" s="476">
        <f t="shared" si="22"/>
        <v>0</v>
      </c>
    </row>
    <row r="120" spans="2:16">
      <c r="B120" s="160" t="str">
        <f t="shared" si="23"/>
        <v/>
      </c>
      <c r="C120" s="470">
        <f>IF(D93="","-",+C119+1)</f>
        <v>2039</v>
      </c>
      <c r="D120" s="345">
        <f>IF(F119+SUM(E$99:E119)=D$92,F119,D$92-SUM(E$99:E119))</f>
        <v>575944.5</v>
      </c>
      <c r="E120" s="482">
        <f t="shared" si="27"/>
        <v>28429</v>
      </c>
      <c r="F120" s="483">
        <f t="shared" si="28"/>
        <v>547515.5</v>
      </c>
      <c r="G120" s="483">
        <f t="shared" si="29"/>
        <v>561730</v>
      </c>
      <c r="H120" s="611">
        <f t="shared" si="30"/>
        <v>92349.825629564162</v>
      </c>
      <c r="I120" s="612">
        <f t="shared" si="31"/>
        <v>92349.825629564162</v>
      </c>
      <c r="J120" s="476">
        <f t="shared" si="20"/>
        <v>0</v>
      </c>
      <c r="K120" s="476"/>
      <c r="L120" s="485"/>
      <c r="M120" s="476">
        <f t="shared" si="26"/>
        <v>0</v>
      </c>
      <c r="N120" s="485"/>
      <c r="O120" s="476">
        <f t="shared" si="21"/>
        <v>0</v>
      </c>
      <c r="P120" s="476">
        <f t="shared" si="22"/>
        <v>0</v>
      </c>
    </row>
    <row r="121" spans="2:16">
      <c r="B121" s="160" t="str">
        <f t="shared" si="23"/>
        <v/>
      </c>
      <c r="C121" s="470">
        <f>IF(D93="","-",+C120+1)</f>
        <v>2040</v>
      </c>
      <c r="D121" s="345">
        <f>IF(F120+SUM(E$99:E120)=D$92,F120,D$92-SUM(E$99:E120))</f>
        <v>547515.5</v>
      </c>
      <c r="E121" s="482">
        <f t="shared" si="27"/>
        <v>28429</v>
      </c>
      <c r="F121" s="483">
        <f t="shared" si="28"/>
        <v>519086.5</v>
      </c>
      <c r="G121" s="483">
        <f t="shared" si="29"/>
        <v>533301</v>
      </c>
      <c r="H121" s="611">
        <f t="shared" si="30"/>
        <v>89114.810316472678</v>
      </c>
      <c r="I121" s="612">
        <f t="shared" si="31"/>
        <v>89114.810316472678</v>
      </c>
      <c r="J121" s="476">
        <f t="shared" si="20"/>
        <v>0</v>
      </c>
      <c r="K121" s="476"/>
      <c r="L121" s="485"/>
      <c r="M121" s="476">
        <f t="shared" si="26"/>
        <v>0</v>
      </c>
      <c r="N121" s="485"/>
      <c r="O121" s="476">
        <f t="shared" si="21"/>
        <v>0</v>
      </c>
      <c r="P121" s="476">
        <f t="shared" si="22"/>
        <v>0</v>
      </c>
    </row>
    <row r="122" spans="2:16">
      <c r="B122" s="160" t="str">
        <f t="shared" si="23"/>
        <v/>
      </c>
      <c r="C122" s="470">
        <f>IF(D93="","-",+C121+1)</f>
        <v>2041</v>
      </c>
      <c r="D122" s="345">
        <f>IF(F121+SUM(E$99:E121)=D$92,F121,D$92-SUM(E$99:E121))</f>
        <v>519086.5</v>
      </c>
      <c r="E122" s="482">
        <f t="shared" si="27"/>
        <v>28429</v>
      </c>
      <c r="F122" s="483">
        <f t="shared" si="28"/>
        <v>490657.5</v>
      </c>
      <c r="G122" s="483">
        <f t="shared" si="29"/>
        <v>504872</v>
      </c>
      <c r="H122" s="611">
        <f t="shared" si="30"/>
        <v>85879.795003381194</v>
      </c>
      <c r="I122" s="612">
        <f t="shared" si="31"/>
        <v>85879.795003381194</v>
      </c>
      <c r="J122" s="476">
        <f t="shared" si="20"/>
        <v>0</v>
      </c>
      <c r="K122" s="476"/>
      <c r="L122" s="485"/>
      <c r="M122" s="476">
        <f t="shared" si="26"/>
        <v>0</v>
      </c>
      <c r="N122" s="485"/>
      <c r="O122" s="476">
        <f t="shared" si="21"/>
        <v>0</v>
      </c>
      <c r="P122" s="476">
        <f t="shared" si="22"/>
        <v>0</v>
      </c>
    </row>
    <row r="123" spans="2:16">
      <c r="B123" s="160" t="str">
        <f t="shared" si="23"/>
        <v/>
      </c>
      <c r="C123" s="470">
        <f>IF(D93="","-",+C122+1)</f>
        <v>2042</v>
      </c>
      <c r="D123" s="345">
        <f>IF(F122+SUM(E$99:E122)=D$92,F122,D$92-SUM(E$99:E122))</f>
        <v>490657.5</v>
      </c>
      <c r="E123" s="482">
        <f t="shared" si="27"/>
        <v>28429</v>
      </c>
      <c r="F123" s="483">
        <f t="shared" si="28"/>
        <v>462228.5</v>
      </c>
      <c r="G123" s="483">
        <f t="shared" si="29"/>
        <v>476443</v>
      </c>
      <c r="H123" s="611">
        <f t="shared" si="30"/>
        <v>82644.77969028971</v>
      </c>
      <c r="I123" s="612">
        <f t="shared" si="31"/>
        <v>82644.77969028971</v>
      </c>
      <c r="J123" s="476">
        <f t="shared" si="20"/>
        <v>0</v>
      </c>
      <c r="K123" s="476"/>
      <c r="L123" s="485"/>
      <c r="M123" s="476">
        <f t="shared" si="26"/>
        <v>0</v>
      </c>
      <c r="N123" s="485"/>
      <c r="O123" s="476">
        <f t="shared" si="21"/>
        <v>0</v>
      </c>
      <c r="P123" s="476">
        <f t="shared" si="22"/>
        <v>0</v>
      </c>
    </row>
    <row r="124" spans="2:16">
      <c r="B124" s="160" t="str">
        <f t="shared" si="23"/>
        <v/>
      </c>
      <c r="C124" s="470">
        <f>IF(D93="","-",+C123+1)</f>
        <v>2043</v>
      </c>
      <c r="D124" s="345">
        <f>IF(F123+SUM(E$99:E123)=D$92,F123,D$92-SUM(E$99:E123))</f>
        <v>462228.5</v>
      </c>
      <c r="E124" s="482">
        <f t="shared" si="27"/>
        <v>28429</v>
      </c>
      <c r="F124" s="483">
        <f t="shared" si="28"/>
        <v>433799.5</v>
      </c>
      <c r="G124" s="483">
        <f t="shared" si="29"/>
        <v>448014</v>
      </c>
      <c r="H124" s="611">
        <f t="shared" si="30"/>
        <v>79409.764377198226</v>
      </c>
      <c r="I124" s="612">
        <f t="shared" si="31"/>
        <v>79409.764377198226</v>
      </c>
      <c r="J124" s="476">
        <f t="shared" si="20"/>
        <v>0</v>
      </c>
      <c r="K124" s="476"/>
      <c r="L124" s="485"/>
      <c r="M124" s="476">
        <f t="shared" si="26"/>
        <v>0</v>
      </c>
      <c r="N124" s="485"/>
      <c r="O124" s="476">
        <f t="shared" si="21"/>
        <v>0</v>
      </c>
      <c r="P124" s="476">
        <f t="shared" si="22"/>
        <v>0</v>
      </c>
    </row>
    <row r="125" spans="2:16">
      <c r="B125" s="160" t="str">
        <f t="shared" si="23"/>
        <v/>
      </c>
      <c r="C125" s="470">
        <f>IF(D93="","-",+C124+1)</f>
        <v>2044</v>
      </c>
      <c r="D125" s="345">
        <f>IF(F124+SUM(E$99:E124)=D$92,F124,D$92-SUM(E$99:E124))</f>
        <v>433799.5</v>
      </c>
      <c r="E125" s="482">
        <f t="shared" si="27"/>
        <v>28429</v>
      </c>
      <c r="F125" s="483">
        <f t="shared" si="28"/>
        <v>405370.5</v>
      </c>
      <c r="G125" s="483">
        <f t="shared" si="29"/>
        <v>419585</v>
      </c>
      <c r="H125" s="611">
        <f t="shared" si="30"/>
        <v>76174.749064106742</v>
      </c>
      <c r="I125" s="612">
        <f t="shared" si="31"/>
        <v>76174.749064106742</v>
      </c>
      <c r="J125" s="476">
        <f t="shared" si="20"/>
        <v>0</v>
      </c>
      <c r="K125" s="476"/>
      <c r="L125" s="485"/>
      <c r="M125" s="476">
        <f t="shared" si="26"/>
        <v>0</v>
      </c>
      <c r="N125" s="485"/>
      <c r="O125" s="476">
        <f t="shared" si="21"/>
        <v>0</v>
      </c>
      <c r="P125" s="476">
        <f t="shared" si="22"/>
        <v>0</v>
      </c>
    </row>
    <row r="126" spans="2:16">
      <c r="B126" s="160" t="str">
        <f t="shared" si="23"/>
        <v/>
      </c>
      <c r="C126" s="470">
        <f>IF(D93="","-",+C125+1)</f>
        <v>2045</v>
      </c>
      <c r="D126" s="345">
        <f>IF(F125+SUM(E$99:E125)=D$92,F125,D$92-SUM(E$99:E125))</f>
        <v>405370.5</v>
      </c>
      <c r="E126" s="482">
        <f t="shared" si="27"/>
        <v>28429</v>
      </c>
      <c r="F126" s="483">
        <f t="shared" si="28"/>
        <v>376941.5</v>
      </c>
      <c r="G126" s="483">
        <f t="shared" si="29"/>
        <v>391156</v>
      </c>
      <c r="H126" s="611">
        <f t="shared" si="30"/>
        <v>72939.733751015257</v>
      </c>
      <c r="I126" s="612">
        <f t="shared" si="31"/>
        <v>72939.733751015257</v>
      </c>
      <c r="J126" s="476">
        <f t="shared" si="20"/>
        <v>0</v>
      </c>
      <c r="K126" s="476"/>
      <c r="L126" s="485"/>
      <c r="M126" s="476">
        <f t="shared" si="26"/>
        <v>0</v>
      </c>
      <c r="N126" s="485"/>
      <c r="O126" s="476">
        <f t="shared" si="21"/>
        <v>0</v>
      </c>
      <c r="P126" s="476">
        <f t="shared" si="22"/>
        <v>0</v>
      </c>
    </row>
    <row r="127" spans="2:16">
      <c r="B127" s="160" t="str">
        <f t="shared" si="23"/>
        <v/>
      </c>
      <c r="C127" s="470">
        <f>IF(D93="","-",+C126+1)</f>
        <v>2046</v>
      </c>
      <c r="D127" s="345">
        <f>IF(F126+SUM(E$99:E126)=D$92,F126,D$92-SUM(E$99:E126))</f>
        <v>376941.5</v>
      </c>
      <c r="E127" s="482">
        <f t="shared" si="27"/>
        <v>28429</v>
      </c>
      <c r="F127" s="483">
        <f t="shared" si="28"/>
        <v>348512.5</v>
      </c>
      <c r="G127" s="483">
        <f t="shared" si="29"/>
        <v>362727</v>
      </c>
      <c r="H127" s="611">
        <f t="shared" si="30"/>
        <v>69704.718437923773</v>
      </c>
      <c r="I127" s="612">
        <f t="shared" si="31"/>
        <v>69704.718437923773</v>
      </c>
      <c r="J127" s="476">
        <f t="shared" si="20"/>
        <v>0</v>
      </c>
      <c r="K127" s="476"/>
      <c r="L127" s="485"/>
      <c r="M127" s="476">
        <f t="shared" si="26"/>
        <v>0</v>
      </c>
      <c r="N127" s="485"/>
      <c r="O127" s="476">
        <f t="shared" si="21"/>
        <v>0</v>
      </c>
      <c r="P127" s="476">
        <f t="shared" si="22"/>
        <v>0</v>
      </c>
    </row>
    <row r="128" spans="2:16">
      <c r="B128" s="160" t="str">
        <f t="shared" si="23"/>
        <v/>
      </c>
      <c r="C128" s="470">
        <f>IF(D93="","-",+C127+1)</f>
        <v>2047</v>
      </c>
      <c r="D128" s="345">
        <f>IF(F127+SUM(E$99:E127)=D$92,F127,D$92-SUM(E$99:E127))</f>
        <v>348512.5</v>
      </c>
      <c r="E128" s="482">
        <f t="shared" si="27"/>
        <v>28429</v>
      </c>
      <c r="F128" s="483">
        <f t="shared" si="28"/>
        <v>320083.5</v>
      </c>
      <c r="G128" s="483">
        <f t="shared" si="29"/>
        <v>334298</v>
      </c>
      <c r="H128" s="611">
        <f t="shared" si="30"/>
        <v>66469.703124832289</v>
      </c>
      <c r="I128" s="612">
        <f t="shared" si="31"/>
        <v>66469.703124832289</v>
      </c>
      <c r="J128" s="476">
        <f t="shared" si="20"/>
        <v>0</v>
      </c>
      <c r="K128" s="476"/>
      <c r="L128" s="485"/>
      <c r="M128" s="476">
        <f t="shared" si="26"/>
        <v>0</v>
      </c>
      <c r="N128" s="485"/>
      <c r="O128" s="476">
        <f t="shared" si="21"/>
        <v>0</v>
      </c>
      <c r="P128" s="476">
        <f t="shared" si="22"/>
        <v>0</v>
      </c>
    </row>
    <row r="129" spans="2:16">
      <c r="B129" s="160" t="str">
        <f t="shared" si="23"/>
        <v/>
      </c>
      <c r="C129" s="470">
        <f>IF(D93="","-",+C128+1)</f>
        <v>2048</v>
      </c>
      <c r="D129" s="345">
        <f>IF(F128+SUM(E$99:E128)=D$92,F128,D$92-SUM(E$99:E128))</f>
        <v>320083.5</v>
      </c>
      <c r="E129" s="482">
        <f t="shared" si="27"/>
        <v>28429</v>
      </c>
      <c r="F129" s="483">
        <f t="shared" si="28"/>
        <v>291654.5</v>
      </c>
      <c r="G129" s="483">
        <f t="shared" si="29"/>
        <v>305869</v>
      </c>
      <c r="H129" s="611">
        <f t="shared" si="30"/>
        <v>63234.687811740805</v>
      </c>
      <c r="I129" s="612">
        <f t="shared" si="31"/>
        <v>63234.687811740805</v>
      </c>
      <c r="J129" s="476">
        <f t="shared" si="20"/>
        <v>0</v>
      </c>
      <c r="K129" s="476"/>
      <c r="L129" s="485"/>
      <c r="M129" s="476">
        <f t="shared" si="26"/>
        <v>0</v>
      </c>
      <c r="N129" s="485"/>
      <c r="O129" s="476">
        <f t="shared" si="21"/>
        <v>0</v>
      </c>
      <c r="P129" s="476">
        <f t="shared" si="22"/>
        <v>0</v>
      </c>
    </row>
    <row r="130" spans="2:16">
      <c r="B130" s="160" t="str">
        <f t="shared" si="23"/>
        <v/>
      </c>
      <c r="C130" s="470">
        <f>IF(D93="","-",+C129+1)</f>
        <v>2049</v>
      </c>
      <c r="D130" s="345">
        <f>IF(F129+SUM(E$99:E129)=D$92,F129,D$92-SUM(E$99:E129))</f>
        <v>291654.5</v>
      </c>
      <c r="E130" s="482">
        <f t="shared" si="27"/>
        <v>28429</v>
      </c>
      <c r="F130" s="483">
        <f t="shared" si="28"/>
        <v>263225.5</v>
      </c>
      <c r="G130" s="483">
        <f t="shared" si="29"/>
        <v>277440</v>
      </c>
      <c r="H130" s="611">
        <f t="shared" si="30"/>
        <v>59999.672498649321</v>
      </c>
      <c r="I130" s="612">
        <f t="shared" si="31"/>
        <v>59999.672498649321</v>
      </c>
      <c r="J130" s="476">
        <f t="shared" si="20"/>
        <v>0</v>
      </c>
      <c r="K130" s="476"/>
      <c r="L130" s="485"/>
      <c r="M130" s="476">
        <f t="shared" si="26"/>
        <v>0</v>
      </c>
      <c r="N130" s="485"/>
      <c r="O130" s="476">
        <f t="shared" si="21"/>
        <v>0</v>
      </c>
      <c r="P130" s="476">
        <f t="shared" si="22"/>
        <v>0</v>
      </c>
    </row>
    <row r="131" spans="2:16">
      <c r="B131" s="160" t="str">
        <f t="shared" si="23"/>
        <v/>
      </c>
      <c r="C131" s="470">
        <f>IF(D93="","-",+C130+1)</f>
        <v>2050</v>
      </c>
      <c r="D131" s="345">
        <f>IF(F130+SUM(E$99:E130)=D$92,F130,D$92-SUM(E$99:E130))</f>
        <v>263225.5</v>
      </c>
      <c r="E131" s="482">
        <f t="shared" si="27"/>
        <v>28429</v>
      </c>
      <c r="F131" s="483">
        <f t="shared" si="28"/>
        <v>234796.5</v>
      </c>
      <c r="G131" s="483">
        <f t="shared" si="29"/>
        <v>249011</v>
      </c>
      <c r="H131" s="611">
        <f t="shared" si="30"/>
        <v>56764.657185557837</v>
      </c>
      <c r="I131" s="612">
        <f t="shared" si="31"/>
        <v>56764.657185557837</v>
      </c>
      <c r="J131" s="476">
        <f t="shared" ref="J131:J154" si="32">+I541-H541</f>
        <v>0</v>
      </c>
      <c r="K131" s="476"/>
      <c r="L131" s="485"/>
      <c r="M131" s="476">
        <f t="shared" ref="M131:M154" si="33">IF(L541&lt;&gt;0,+H541-L541,0)</f>
        <v>0</v>
      </c>
      <c r="N131" s="485"/>
      <c r="O131" s="476">
        <f t="shared" ref="O131:O154" si="34">IF(N541&lt;&gt;0,+I541-N541,0)</f>
        <v>0</v>
      </c>
      <c r="P131" s="476">
        <f t="shared" ref="P131:P154" si="35">+O541-M541</f>
        <v>0</v>
      </c>
    </row>
    <row r="132" spans="2:16">
      <c r="B132" s="160" t="str">
        <f t="shared" si="23"/>
        <v/>
      </c>
      <c r="C132" s="470">
        <f>IF(D93="","-",+C131+1)</f>
        <v>2051</v>
      </c>
      <c r="D132" s="345">
        <f>IF(F131+SUM(E$99:E131)=D$92,F131,D$92-SUM(E$99:E131))</f>
        <v>234796.5</v>
      </c>
      <c r="E132" s="482">
        <f t="shared" si="27"/>
        <v>28429</v>
      </c>
      <c r="F132" s="483">
        <f t="shared" si="28"/>
        <v>206367.5</v>
      </c>
      <c r="G132" s="483">
        <f t="shared" si="29"/>
        <v>220582</v>
      </c>
      <c r="H132" s="611">
        <f t="shared" si="30"/>
        <v>53529.641872466353</v>
      </c>
      <c r="I132" s="612">
        <f t="shared" si="31"/>
        <v>53529.641872466353</v>
      </c>
      <c r="J132" s="476">
        <f t="shared" si="32"/>
        <v>0</v>
      </c>
      <c r="K132" s="476"/>
      <c r="L132" s="485"/>
      <c r="M132" s="476">
        <f t="shared" si="33"/>
        <v>0</v>
      </c>
      <c r="N132" s="485"/>
      <c r="O132" s="476">
        <f t="shared" si="34"/>
        <v>0</v>
      </c>
      <c r="P132" s="476">
        <f t="shared" si="35"/>
        <v>0</v>
      </c>
    </row>
    <row r="133" spans="2:16">
      <c r="B133" s="160" t="str">
        <f t="shared" si="23"/>
        <v/>
      </c>
      <c r="C133" s="470">
        <f>IF(D93="","-",+C132+1)</f>
        <v>2052</v>
      </c>
      <c r="D133" s="345">
        <f>IF(F132+SUM(E$99:E132)=D$92,F132,D$92-SUM(E$99:E132))</f>
        <v>206367.5</v>
      </c>
      <c r="E133" s="482">
        <f t="shared" si="27"/>
        <v>28429</v>
      </c>
      <c r="F133" s="483">
        <f t="shared" si="28"/>
        <v>177938.5</v>
      </c>
      <c r="G133" s="483">
        <f t="shared" si="29"/>
        <v>192153</v>
      </c>
      <c r="H133" s="611">
        <f t="shared" si="30"/>
        <v>50294.626559374869</v>
      </c>
      <c r="I133" s="612">
        <f t="shared" si="31"/>
        <v>50294.626559374869</v>
      </c>
      <c r="J133" s="476">
        <f t="shared" si="32"/>
        <v>0</v>
      </c>
      <c r="K133" s="476"/>
      <c r="L133" s="485"/>
      <c r="M133" s="476">
        <f t="shared" si="33"/>
        <v>0</v>
      </c>
      <c r="N133" s="485"/>
      <c r="O133" s="476">
        <f t="shared" si="34"/>
        <v>0</v>
      </c>
      <c r="P133" s="476">
        <f t="shared" si="35"/>
        <v>0</v>
      </c>
    </row>
    <row r="134" spans="2:16">
      <c r="B134" s="160" t="str">
        <f t="shared" si="23"/>
        <v/>
      </c>
      <c r="C134" s="470">
        <f>IF(D93="","-",+C133+1)</f>
        <v>2053</v>
      </c>
      <c r="D134" s="345">
        <f>IF(F133+SUM(E$99:E133)=D$92,F133,D$92-SUM(E$99:E133))</f>
        <v>177938.5</v>
      </c>
      <c r="E134" s="482">
        <f t="shared" si="27"/>
        <v>28429</v>
      </c>
      <c r="F134" s="483">
        <f t="shared" si="28"/>
        <v>149509.5</v>
      </c>
      <c r="G134" s="483">
        <f t="shared" si="29"/>
        <v>163724</v>
      </c>
      <c r="H134" s="611">
        <f t="shared" si="30"/>
        <v>47059.611246283384</v>
      </c>
      <c r="I134" s="612">
        <f t="shared" si="31"/>
        <v>47059.611246283384</v>
      </c>
      <c r="J134" s="476">
        <f t="shared" si="32"/>
        <v>0</v>
      </c>
      <c r="K134" s="476"/>
      <c r="L134" s="485"/>
      <c r="M134" s="476">
        <f t="shared" si="33"/>
        <v>0</v>
      </c>
      <c r="N134" s="485"/>
      <c r="O134" s="476">
        <f t="shared" si="34"/>
        <v>0</v>
      </c>
      <c r="P134" s="476">
        <f t="shared" si="35"/>
        <v>0</v>
      </c>
    </row>
    <row r="135" spans="2:16">
      <c r="B135" s="160" t="str">
        <f t="shared" si="23"/>
        <v/>
      </c>
      <c r="C135" s="470">
        <f>IF(D93="","-",+C134+1)</f>
        <v>2054</v>
      </c>
      <c r="D135" s="345">
        <f>IF(F134+SUM(E$99:E134)=D$92,F134,D$92-SUM(E$99:E134))</f>
        <v>149509.5</v>
      </c>
      <c r="E135" s="482">
        <f t="shared" si="27"/>
        <v>28429</v>
      </c>
      <c r="F135" s="483">
        <f t="shared" si="28"/>
        <v>121080.5</v>
      </c>
      <c r="G135" s="483">
        <f t="shared" si="29"/>
        <v>135295</v>
      </c>
      <c r="H135" s="611">
        <f t="shared" si="30"/>
        <v>43824.5959331919</v>
      </c>
      <c r="I135" s="612">
        <f t="shared" si="31"/>
        <v>43824.5959331919</v>
      </c>
      <c r="J135" s="476">
        <f t="shared" si="32"/>
        <v>0</v>
      </c>
      <c r="K135" s="476"/>
      <c r="L135" s="485"/>
      <c r="M135" s="476">
        <f t="shared" si="33"/>
        <v>0</v>
      </c>
      <c r="N135" s="485"/>
      <c r="O135" s="476">
        <f t="shared" si="34"/>
        <v>0</v>
      </c>
      <c r="P135" s="476">
        <f t="shared" si="35"/>
        <v>0</v>
      </c>
    </row>
    <row r="136" spans="2:16">
      <c r="B136" s="160" t="str">
        <f t="shared" si="23"/>
        <v/>
      </c>
      <c r="C136" s="470">
        <f>IF(D93="","-",+C135+1)</f>
        <v>2055</v>
      </c>
      <c r="D136" s="345">
        <f>IF(F135+SUM(E$99:E135)=D$92,F135,D$92-SUM(E$99:E135))</f>
        <v>121080.5</v>
      </c>
      <c r="E136" s="482">
        <f t="shared" si="27"/>
        <v>28429</v>
      </c>
      <c r="F136" s="483">
        <f t="shared" si="28"/>
        <v>92651.5</v>
      </c>
      <c r="G136" s="483">
        <f t="shared" si="29"/>
        <v>106866</v>
      </c>
      <c r="H136" s="611">
        <f t="shared" si="30"/>
        <v>40589.580620100409</v>
      </c>
      <c r="I136" s="612">
        <f t="shared" si="31"/>
        <v>40589.580620100409</v>
      </c>
      <c r="J136" s="476">
        <f t="shared" si="32"/>
        <v>0</v>
      </c>
      <c r="K136" s="476"/>
      <c r="L136" s="485"/>
      <c r="M136" s="476">
        <f t="shared" si="33"/>
        <v>0</v>
      </c>
      <c r="N136" s="485"/>
      <c r="O136" s="476">
        <f t="shared" si="34"/>
        <v>0</v>
      </c>
      <c r="P136" s="476">
        <f t="shared" si="35"/>
        <v>0</v>
      </c>
    </row>
    <row r="137" spans="2:16">
      <c r="B137" s="160" t="str">
        <f t="shared" si="23"/>
        <v/>
      </c>
      <c r="C137" s="470">
        <f>IF(D93="","-",+C136+1)</f>
        <v>2056</v>
      </c>
      <c r="D137" s="345">
        <f>IF(F136+SUM(E$99:E136)=D$92,F136,D$92-SUM(E$99:E136))</f>
        <v>92651.5</v>
      </c>
      <c r="E137" s="482">
        <f t="shared" si="27"/>
        <v>28429</v>
      </c>
      <c r="F137" s="483">
        <f t="shared" si="28"/>
        <v>64222.5</v>
      </c>
      <c r="G137" s="483">
        <f t="shared" si="29"/>
        <v>78437</v>
      </c>
      <c r="H137" s="611">
        <f t="shared" si="30"/>
        <v>37354.565307008925</v>
      </c>
      <c r="I137" s="612">
        <f t="shared" si="31"/>
        <v>37354.565307008925</v>
      </c>
      <c r="J137" s="476">
        <f t="shared" si="32"/>
        <v>0</v>
      </c>
      <c r="K137" s="476"/>
      <c r="L137" s="485"/>
      <c r="M137" s="476">
        <f t="shared" si="33"/>
        <v>0</v>
      </c>
      <c r="N137" s="485"/>
      <c r="O137" s="476">
        <f t="shared" si="34"/>
        <v>0</v>
      </c>
      <c r="P137" s="476">
        <f t="shared" si="35"/>
        <v>0</v>
      </c>
    </row>
    <row r="138" spans="2:16">
      <c r="B138" s="160" t="str">
        <f t="shared" si="23"/>
        <v/>
      </c>
      <c r="C138" s="470">
        <f>IF(D93="","-",+C137+1)</f>
        <v>2057</v>
      </c>
      <c r="D138" s="345">
        <f>IF(F137+SUM(E$99:E137)=D$92,F137,D$92-SUM(E$99:E137))</f>
        <v>64222.5</v>
      </c>
      <c r="E138" s="482">
        <f t="shared" si="27"/>
        <v>28429</v>
      </c>
      <c r="F138" s="483">
        <f t="shared" si="28"/>
        <v>35793.5</v>
      </c>
      <c r="G138" s="483">
        <f t="shared" si="29"/>
        <v>50008</v>
      </c>
      <c r="H138" s="611">
        <f t="shared" si="30"/>
        <v>34119.549993917441</v>
      </c>
      <c r="I138" s="612">
        <f t="shared" si="31"/>
        <v>34119.549993917441</v>
      </c>
      <c r="J138" s="476">
        <f t="shared" si="32"/>
        <v>0</v>
      </c>
      <c r="K138" s="476"/>
      <c r="L138" s="485"/>
      <c r="M138" s="476">
        <f t="shared" si="33"/>
        <v>0</v>
      </c>
      <c r="N138" s="485"/>
      <c r="O138" s="476">
        <f t="shared" si="34"/>
        <v>0</v>
      </c>
      <c r="P138" s="476">
        <f t="shared" si="35"/>
        <v>0</v>
      </c>
    </row>
    <row r="139" spans="2:16">
      <c r="B139" s="160" t="str">
        <f t="shared" si="23"/>
        <v/>
      </c>
      <c r="C139" s="470">
        <f>IF(D93="","-",+C138+1)</f>
        <v>2058</v>
      </c>
      <c r="D139" s="345">
        <f>IF(F138+SUM(E$99:E138)=D$92,F138,D$92-SUM(E$99:E138))</f>
        <v>35793.5</v>
      </c>
      <c r="E139" s="482">
        <f t="shared" si="27"/>
        <v>28429</v>
      </c>
      <c r="F139" s="483">
        <f t="shared" si="28"/>
        <v>7364.5</v>
      </c>
      <c r="G139" s="483">
        <f t="shared" si="29"/>
        <v>21579</v>
      </c>
      <c r="H139" s="611">
        <f t="shared" si="30"/>
        <v>30884.534680825956</v>
      </c>
      <c r="I139" s="612">
        <f t="shared" si="31"/>
        <v>30884.534680825956</v>
      </c>
      <c r="J139" s="476">
        <f t="shared" si="32"/>
        <v>0</v>
      </c>
      <c r="K139" s="476"/>
      <c r="L139" s="485"/>
      <c r="M139" s="476">
        <f t="shared" si="33"/>
        <v>0</v>
      </c>
      <c r="N139" s="485"/>
      <c r="O139" s="476">
        <f t="shared" si="34"/>
        <v>0</v>
      </c>
      <c r="P139" s="476">
        <f t="shared" si="35"/>
        <v>0</v>
      </c>
    </row>
    <row r="140" spans="2:16">
      <c r="B140" s="160" t="str">
        <f t="shared" si="23"/>
        <v/>
      </c>
      <c r="C140" s="470">
        <f>IF(D93="","-",+C139+1)</f>
        <v>2059</v>
      </c>
      <c r="D140" s="345">
        <f>IF(F139+SUM(E$99:E139)=D$92,F139,D$92-SUM(E$99:E139))</f>
        <v>7364.5</v>
      </c>
      <c r="E140" s="482">
        <f t="shared" si="27"/>
        <v>7364.5</v>
      </c>
      <c r="F140" s="483">
        <f t="shared" si="28"/>
        <v>0</v>
      </c>
      <c r="G140" s="483">
        <f t="shared" si="29"/>
        <v>3682.25</v>
      </c>
      <c r="H140" s="611">
        <f t="shared" si="30"/>
        <v>7783.5135121401072</v>
      </c>
      <c r="I140" s="612">
        <f t="shared" si="31"/>
        <v>7783.5135121401072</v>
      </c>
      <c r="J140" s="476">
        <f t="shared" si="32"/>
        <v>0</v>
      </c>
      <c r="K140" s="476"/>
      <c r="L140" s="485"/>
      <c r="M140" s="476">
        <f t="shared" si="33"/>
        <v>0</v>
      </c>
      <c r="N140" s="485"/>
      <c r="O140" s="476">
        <f t="shared" si="34"/>
        <v>0</v>
      </c>
      <c r="P140" s="476">
        <f t="shared" si="35"/>
        <v>0</v>
      </c>
    </row>
    <row r="141" spans="2:16">
      <c r="B141" s="160" t="str">
        <f t="shared" si="23"/>
        <v/>
      </c>
      <c r="C141" s="470">
        <f>IF(D93="","-",+C140+1)</f>
        <v>2060</v>
      </c>
      <c r="D141" s="345">
        <f>IF(F140+SUM(E$99:E140)=D$92,F140,D$92-SUM(E$99:E140))</f>
        <v>0</v>
      </c>
      <c r="E141" s="482">
        <f t="shared" si="27"/>
        <v>0</v>
      </c>
      <c r="F141" s="483">
        <f t="shared" si="28"/>
        <v>0</v>
      </c>
      <c r="G141" s="483">
        <f t="shared" si="29"/>
        <v>0</v>
      </c>
      <c r="H141" s="611">
        <f t="shared" si="30"/>
        <v>0</v>
      </c>
      <c r="I141" s="612">
        <f t="shared" si="31"/>
        <v>0</v>
      </c>
      <c r="J141" s="476">
        <f t="shared" si="32"/>
        <v>0</v>
      </c>
      <c r="K141" s="476"/>
      <c r="L141" s="485"/>
      <c r="M141" s="476">
        <f t="shared" si="33"/>
        <v>0</v>
      </c>
      <c r="N141" s="485"/>
      <c r="O141" s="476">
        <f t="shared" si="34"/>
        <v>0</v>
      </c>
      <c r="P141" s="476">
        <f t="shared" si="35"/>
        <v>0</v>
      </c>
    </row>
    <row r="142" spans="2:16">
      <c r="B142" s="160" t="str">
        <f t="shared" si="23"/>
        <v/>
      </c>
      <c r="C142" s="470">
        <f>IF(D93="","-",+C141+1)</f>
        <v>2061</v>
      </c>
      <c r="D142" s="345">
        <f>IF(F141+SUM(E$99:E141)=D$92,F141,D$92-SUM(E$99:E141))</f>
        <v>0</v>
      </c>
      <c r="E142" s="482">
        <f t="shared" si="27"/>
        <v>0</v>
      </c>
      <c r="F142" s="483">
        <f t="shared" si="28"/>
        <v>0</v>
      </c>
      <c r="G142" s="483">
        <f t="shared" si="29"/>
        <v>0</v>
      </c>
      <c r="H142" s="611">
        <f t="shared" si="30"/>
        <v>0</v>
      </c>
      <c r="I142" s="612">
        <f t="shared" si="31"/>
        <v>0</v>
      </c>
      <c r="J142" s="476">
        <f t="shared" si="32"/>
        <v>0</v>
      </c>
      <c r="K142" s="476"/>
      <c r="L142" s="485"/>
      <c r="M142" s="476">
        <f t="shared" si="33"/>
        <v>0</v>
      </c>
      <c r="N142" s="485"/>
      <c r="O142" s="476">
        <f t="shared" si="34"/>
        <v>0</v>
      </c>
      <c r="P142" s="476">
        <f t="shared" si="35"/>
        <v>0</v>
      </c>
    </row>
    <row r="143" spans="2:16">
      <c r="B143" s="160" t="str">
        <f t="shared" si="23"/>
        <v/>
      </c>
      <c r="C143" s="470">
        <f>IF(D93="","-",+C142+1)</f>
        <v>2062</v>
      </c>
      <c r="D143" s="345">
        <f>IF(F142+SUM(E$99:E142)=D$92,F142,D$92-SUM(E$99:E142))</f>
        <v>0</v>
      </c>
      <c r="E143" s="482">
        <f t="shared" si="27"/>
        <v>0</v>
      </c>
      <c r="F143" s="483">
        <f t="shared" si="28"/>
        <v>0</v>
      </c>
      <c r="G143" s="483">
        <f t="shared" si="29"/>
        <v>0</v>
      </c>
      <c r="H143" s="611">
        <f t="shared" si="30"/>
        <v>0</v>
      </c>
      <c r="I143" s="612">
        <f t="shared" si="31"/>
        <v>0</v>
      </c>
      <c r="J143" s="476">
        <f t="shared" si="32"/>
        <v>0</v>
      </c>
      <c r="K143" s="476"/>
      <c r="L143" s="485"/>
      <c r="M143" s="476">
        <f t="shared" si="33"/>
        <v>0</v>
      </c>
      <c r="N143" s="485"/>
      <c r="O143" s="476">
        <f t="shared" si="34"/>
        <v>0</v>
      </c>
      <c r="P143" s="476">
        <f t="shared" si="35"/>
        <v>0</v>
      </c>
    </row>
    <row r="144" spans="2:16">
      <c r="B144" s="160" t="str">
        <f t="shared" si="23"/>
        <v/>
      </c>
      <c r="C144" s="470">
        <f>IF(D93="","-",+C143+1)</f>
        <v>2063</v>
      </c>
      <c r="D144" s="345">
        <f>IF(F143+SUM(E$99:E143)=D$92,F143,D$92-SUM(E$99:E143))</f>
        <v>0</v>
      </c>
      <c r="E144" s="482">
        <f t="shared" si="27"/>
        <v>0</v>
      </c>
      <c r="F144" s="483">
        <f t="shared" si="28"/>
        <v>0</v>
      </c>
      <c r="G144" s="483">
        <f t="shared" si="29"/>
        <v>0</v>
      </c>
      <c r="H144" s="611">
        <f t="shared" si="30"/>
        <v>0</v>
      </c>
      <c r="I144" s="612">
        <f t="shared" si="31"/>
        <v>0</v>
      </c>
      <c r="J144" s="476">
        <f t="shared" si="32"/>
        <v>0</v>
      </c>
      <c r="K144" s="476"/>
      <c r="L144" s="485"/>
      <c r="M144" s="476">
        <f t="shared" si="33"/>
        <v>0</v>
      </c>
      <c r="N144" s="485"/>
      <c r="O144" s="476">
        <f t="shared" si="34"/>
        <v>0</v>
      </c>
      <c r="P144" s="476">
        <f t="shared" si="35"/>
        <v>0</v>
      </c>
    </row>
    <row r="145" spans="2:16">
      <c r="B145" s="160" t="str">
        <f t="shared" si="23"/>
        <v/>
      </c>
      <c r="C145" s="470">
        <f>IF(D93="","-",+C144+1)</f>
        <v>2064</v>
      </c>
      <c r="D145" s="345">
        <f>IF(F144+SUM(E$99:E144)=D$92,F144,D$92-SUM(E$99:E144))</f>
        <v>0</v>
      </c>
      <c r="E145" s="482">
        <f t="shared" si="27"/>
        <v>0</v>
      </c>
      <c r="F145" s="483">
        <f t="shared" si="28"/>
        <v>0</v>
      </c>
      <c r="G145" s="483">
        <f t="shared" si="29"/>
        <v>0</v>
      </c>
      <c r="H145" s="611">
        <f t="shared" si="30"/>
        <v>0</v>
      </c>
      <c r="I145" s="612">
        <f t="shared" si="31"/>
        <v>0</v>
      </c>
      <c r="J145" s="476">
        <f t="shared" si="32"/>
        <v>0</v>
      </c>
      <c r="K145" s="476"/>
      <c r="L145" s="485"/>
      <c r="M145" s="476">
        <f t="shared" si="33"/>
        <v>0</v>
      </c>
      <c r="N145" s="485"/>
      <c r="O145" s="476">
        <f t="shared" si="34"/>
        <v>0</v>
      </c>
      <c r="P145" s="476">
        <f t="shared" si="35"/>
        <v>0</v>
      </c>
    </row>
    <row r="146" spans="2:16">
      <c r="B146" s="160" t="str">
        <f t="shared" si="23"/>
        <v/>
      </c>
      <c r="C146" s="470">
        <f>IF(D93="","-",+C145+1)</f>
        <v>2065</v>
      </c>
      <c r="D146" s="345">
        <f>IF(F145+SUM(E$99:E145)=D$92,F145,D$92-SUM(E$99:E145))</f>
        <v>0</v>
      </c>
      <c r="E146" s="482">
        <f t="shared" si="27"/>
        <v>0</v>
      </c>
      <c r="F146" s="483">
        <f t="shared" si="28"/>
        <v>0</v>
      </c>
      <c r="G146" s="483">
        <f t="shared" si="29"/>
        <v>0</v>
      </c>
      <c r="H146" s="611">
        <f t="shared" si="30"/>
        <v>0</v>
      </c>
      <c r="I146" s="612">
        <f t="shared" si="31"/>
        <v>0</v>
      </c>
      <c r="J146" s="476">
        <f t="shared" si="32"/>
        <v>0</v>
      </c>
      <c r="K146" s="476"/>
      <c r="L146" s="485"/>
      <c r="M146" s="476">
        <f t="shared" si="33"/>
        <v>0</v>
      </c>
      <c r="N146" s="485"/>
      <c r="O146" s="476">
        <f t="shared" si="34"/>
        <v>0</v>
      </c>
      <c r="P146" s="476">
        <f t="shared" si="35"/>
        <v>0</v>
      </c>
    </row>
    <row r="147" spans="2:16">
      <c r="B147" s="160" t="str">
        <f t="shared" si="23"/>
        <v/>
      </c>
      <c r="C147" s="470">
        <f>IF(D93="","-",+C146+1)</f>
        <v>2066</v>
      </c>
      <c r="D147" s="345">
        <f>IF(F146+SUM(E$99:E146)=D$92,F146,D$92-SUM(E$99:E146))</f>
        <v>0</v>
      </c>
      <c r="E147" s="482">
        <f t="shared" si="27"/>
        <v>0</v>
      </c>
      <c r="F147" s="483">
        <f t="shared" si="28"/>
        <v>0</v>
      </c>
      <c r="G147" s="483">
        <f t="shared" si="29"/>
        <v>0</v>
      </c>
      <c r="H147" s="611">
        <f t="shared" si="30"/>
        <v>0</v>
      </c>
      <c r="I147" s="612">
        <f t="shared" si="31"/>
        <v>0</v>
      </c>
      <c r="J147" s="476">
        <f t="shared" si="32"/>
        <v>0</v>
      </c>
      <c r="K147" s="476"/>
      <c r="L147" s="485"/>
      <c r="M147" s="476">
        <f t="shared" si="33"/>
        <v>0</v>
      </c>
      <c r="N147" s="485"/>
      <c r="O147" s="476">
        <f t="shared" si="34"/>
        <v>0</v>
      </c>
      <c r="P147" s="476">
        <f t="shared" si="35"/>
        <v>0</v>
      </c>
    </row>
    <row r="148" spans="2:16">
      <c r="B148" s="160" t="str">
        <f t="shared" si="23"/>
        <v/>
      </c>
      <c r="C148" s="470">
        <f>IF(D93="","-",+C147+1)</f>
        <v>2067</v>
      </c>
      <c r="D148" s="345">
        <f>IF(F147+SUM(E$99:E147)=D$92,F147,D$92-SUM(E$99:E147))</f>
        <v>0</v>
      </c>
      <c r="E148" s="482">
        <f t="shared" si="27"/>
        <v>0</v>
      </c>
      <c r="F148" s="483">
        <f t="shared" si="28"/>
        <v>0</v>
      </c>
      <c r="G148" s="483">
        <f t="shared" si="29"/>
        <v>0</v>
      </c>
      <c r="H148" s="611">
        <f t="shared" si="30"/>
        <v>0</v>
      </c>
      <c r="I148" s="612">
        <f t="shared" si="31"/>
        <v>0</v>
      </c>
      <c r="J148" s="476">
        <f t="shared" si="32"/>
        <v>0</v>
      </c>
      <c r="K148" s="476"/>
      <c r="L148" s="485"/>
      <c r="M148" s="476">
        <f t="shared" si="33"/>
        <v>0</v>
      </c>
      <c r="N148" s="485"/>
      <c r="O148" s="476">
        <f t="shared" si="34"/>
        <v>0</v>
      </c>
      <c r="P148" s="476">
        <f t="shared" si="35"/>
        <v>0</v>
      </c>
    </row>
    <row r="149" spans="2:16">
      <c r="B149" s="160" t="str">
        <f t="shared" si="23"/>
        <v/>
      </c>
      <c r="C149" s="470">
        <f>IF(D93="","-",+C148+1)</f>
        <v>2068</v>
      </c>
      <c r="D149" s="345">
        <f>IF(F148+SUM(E$99:E148)=D$92,F148,D$92-SUM(E$99:E148))</f>
        <v>0</v>
      </c>
      <c r="E149" s="482">
        <f t="shared" si="27"/>
        <v>0</v>
      </c>
      <c r="F149" s="483">
        <f t="shared" si="28"/>
        <v>0</v>
      </c>
      <c r="G149" s="483">
        <f t="shared" si="29"/>
        <v>0</v>
      </c>
      <c r="H149" s="611">
        <f t="shared" si="30"/>
        <v>0</v>
      </c>
      <c r="I149" s="612">
        <f t="shared" si="31"/>
        <v>0</v>
      </c>
      <c r="J149" s="476">
        <f t="shared" si="32"/>
        <v>0</v>
      </c>
      <c r="K149" s="476"/>
      <c r="L149" s="485"/>
      <c r="M149" s="476">
        <f t="shared" si="33"/>
        <v>0</v>
      </c>
      <c r="N149" s="485"/>
      <c r="O149" s="476">
        <f t="shared" si="34"/>
        <v>0</v>
      </c>
      <c r="P149" s="476">
        <f t="shared" si="35"/>
        <v>0</v>
      </c>
    </row>
    <row r="150" spans="2:16">
      <c r="B150" s="160" t="str">
        <f t="shared" si="23"/>
        <v/>
      </c>
      <c r="C150" s="470">
        <f>IF(D93="","-",+C149+1)</f>
        <v>2069</v>
      </c>
      <c r="D150" s="345">
        <f>IF(F149+SUM(E$99:E149)=D$92,F149,D$92-SUM(E$99:E149))</f>
        <v>0</v>
      </c>
      <c r="E150" s="482">
        <f t="shared" si="27"/>
        <v>0</v>
      </c>
      <c r="F150" s="483">
        <f t="shared" si="28"/>
        <v>0</v>
      </c>
      <c r="G150" s="483">
        <f t="shared" si="29"/>
        <v>0</v>
      </c>
      <c r="H150" s="611">
        <f t="shared" si="30"/>
        <v>0</v>
      </c>
      <c r="I150" s="612">
        <f t="shared" si="31"/>
        <v>0</v>
      </c>
      <c r="J150" s="476">
        <f t="shared" si="32"/>
        <v>0</v>
      </c>
      <c r="K150" s="476"/>
      <c r="L150" s="485"/>
      <c r="M150" s="476">
        <f t="shared" si="33"/>
        <v>0</v>
      </c>
      <c r="N150" s="485"/>
      <c r="O150" s="476">
        <f t="shared" si="34"/>
        <v>0</v>
      </c>
      <c r="P150" s="476">
        <f t="shared" si="35"/>
        <v>0</v>
      </c>
    </row>
    <row r="151" spans="2:16">
      <c r="B151" s="160" t="str">
        <f t="shared" si="23"/>
        <v/>
      </c>
      <c r="C151" s="470">
        <f>IF(D93="","-",+C150+1)</f>
        <v>2070</v>
      </c>
      <c r="D151" s="345">
        <f>IF(F150+SUM(E$99:E150)=D$92,F150,D$92-SUM(E$99:E150))</f>
        <v>0</v>
      </c>
      <c r="E151" s="482">
        <f t="shared" si="27"/>
        <v>0</v>
      </c>
      <c r="F151" s="483">
        <f t="shared" si="28"/>
        <v>0</v>
      </c>
      <c r="G151" s="483">
        <f t="shared" si="29"/>
        <v>0</v>
      </c>
      <c r="H151" s="611">
        <f t="shared" si="30"/>
        <v>0</v>
      </c>
      <c r="I151" s="612">
        <f t="shared" si="31"/>
        <v>0</v>
      </c>
      <c r="J151" s="476">
        <f t="shared" si="32"/>
        <v>0</v>
      </c>
      <c r="K151" s="476"/>
      <c r="L151" s="485"/>
      <c r="M151" s="476">
        <f t="shared" si="33"/>
        <v>0</v>
      </c>
      <c r="N151" s="485"/>
      <c r="O151" s="476">
        <f t="shared" si="34"/>
        <v>0</v>
      </c>
      <c r="P151" s="476">
        <f t="shared" si="35"/>
        <v>0</v>
      </c>
    </row>
    <row r="152" spans="2:16">
      <c r="B152" s="160" t="str">
        <f t="shared" si="23"/>
        <v/>
      </c>
      <c r="C152" s="470">
        <f>IF(D93="","-",+C151+1)</f>
        <v>2071</v>
      </c>
      <c r="D152" s="345">
        <f>IF(F151+SUM(E$99:E151)=D$92,F151,D$92-SUM(E$99:E151))</f>
        <v>0</v>
      </c>
      <c r="E152" s="482">
        <f t="shared" si="27"/>
        <v>0</v>
      </c>
      <c r="F152" s="483">
        <f t="shared" si="28"/>
        <v>0</v>
      </c>
      <c r="G152" s="483">
        <f t="shared" si="29"/>
        <v>0</v>
      </c>
      <c r="H152" s="611">
        <f t="shared" si="30"/>
        <v>0</v>
      </c>
      <c r="I152" s="612">
        <f t="shared" si="31"/>
        <v>0</v>
      </c>
      <c r="J152" s="476">
        <f t="shared" si="32"/>
        <v>0</v>
      </c>
      <c r="K152" s="476"/>
      <c r="L152" s="485"/>
      <c r="M152" s="476">
        <f t="shared" si="33"/>
        <v>0</v>
      </c>
      <c r="N152" s="485"/>
      <c r="O152" s="476">
        <f t="shared" si="34"/>
        <v>0</v>
      </c>
      <c r="P152" s="476">
        <f t="shared" si="35"/>
        <v>0</v>
      </c>
    </row>
    <row r="153" spans="2:16">
      <c r="B153" s="160" t="str">
        <f t="shared" si="23"/>
        <v/>
      </c>
      <c r="C153" s="470">
        <f>IF(D93="","-",+C152+1)</f>
        <v>2072</v>
      </c>
      <c r="D153" s="345">
        <f>IF(F152+SUM(E$99:E152)=D$92,F152,D$92-SUM(E$99:E152))</f>
        <v>0</v>
      </c>
      <c r="E153" s="482">
        <f t="shared" si="27"/>
        <v>0</v>
      </c>
      <c r="F153" s="483">
        <f t="shared" si="28"/>
        <v>0</v>
      </c>
      <c r="G153" s="483">
        <f t="shared" si="29"/>
        <v>0</v>
      </c>
      <c r="H153" s="611">
        <f t="shared" si="30"/>
        <v>0</v>
      </c>
      <c r="I153" s="612">
        <f t="shared" si="31"/>
        <v>0</v>
      </c>
      <c r="J153" s="476">
        <f t="shared" si="32"/>
        <v>0</v>
      </c>
      <c r="K153" s="476"/>
      <c r="L153" s="485"/>
      <c r="M153" s="476">
        <f t="shared" si="33"/>
        <v>0</v>
      </c>
      <c r="N153" s="485"/>
      <c r="O153" s="476">
        <f t="shared" si="34"/>
        <v>0</v>
      </c>
      <c r="P153" s="476">
        <f t="shared" si="35"/>
        <v>0</v>
      </c>
    </row>
    <row r="154" spans="2:16" ht="13.5" thickBot="1">
      <c r="B154" s="160" t="str">
        <f t="shared" si="23"/>
        <v/>
      </c>
      <c r="C154" s="487">
        <f>IF(D93="","-",+C153+1)</f>
        <v>2073</v>
      </c>
      <c r="D154" s="541">
        <f>IF(F153+SUM(E$99:E153)=D$92,F153,D$92-SUM(E$99:E153))</f>
        <v>0</v>
      </c>
      <c r="E154" s="489">
        <f t="shared" si="27"/>
        <v>0</v>
      </c>
      <c r="F154" s="488">
        <f t="shared" si="28"/>
        <v>0</v>
      </c>
      <c r="G154" s="488">
        <f t="shared" si="29"/>
        <v>0</v>
      </c>
      <c r="H154" s="613">
        <f t="shared" si="30"/>
        <v>0</v>
      </c>
      <c r="I154" s="614">
        <f t="shared" si="31"/>
        <v>0</v>
      </c>
      <c r="J154" s="493">
        <f t="shared" si="32"/>
        <v>0</v>
      </c>
      <c r="K154" s="476"/>
      <c r="L154" s="492"/>
      <c r="M154" s="493">
        <f t="shared" si="33"/>
        <v>0</v>
      </c>
      <c r="N154" s="492"/>
      <c r="O154" s="493">
        <f t="shared" si="34"/>
        <v>0</v>
      </c>
      <c r="P154" s="493">
        <f t="shared" si="35"/>
        <v>0</v>
      </c>
    </row>
    <row r="155" spans="2:16">
      <c r="C155" s="345" t="s">
        <v>77</v>
      </c>
      <c r="D155" s="346"/>
      <c r="E155" s="346">
        <f>SUM(E99:E154)</f>
        <v>1165593</v>
      </c>
      <c r="F155" s="346"/>
      <c r="G155" s="346"/>
      <c r="H155" s="346">
        <f>SUM(H99:H154)</f>
        <v>3865087.1157749565</v>
      </c>
      <c r="I155" s="346">
        <f>SUM(I99:I154)</f>
        <v>3865087.1157749565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23" priority="1" stopIfTrue="1" operator="equal">
      <formula>$I$10</formula>
    </cfRule>
  </conditionalFormatting>
  <conditionalFormatting sqref="C99:C154">
    <cfRule type="cellIs" dxfId="22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162"/>
  <sheetViews>
    <sheetView topLeftCell="A80" zoomScale="80" zoomScaleNormal="80" workbookViewId="0">
      <selection activeCell="D99" sqref="D99:I10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24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166652.89001495793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166652.89001495793</v>
      </c>
      <c r="O6" s="231"/>
      <c r="P6" s="231"/>
    </row>
    <row r="7" spans="1:16" ht="13.5" thickBot="1">
      <c r="C7" s="429" t="s">
        <v>46</v>
      </c>
      <c r="D7" s="597" t="s">
        <v>306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307</v>
      </c>
      <c r="E9" s="575" t="s">
        <v>308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1345382.62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2018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5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35404.805789473685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2018</v>
      </c>
      <c r="D17" s="582">
        <v>0</v>
      </c>
      <c r="E17" s="606">
        <v>13511.111111111109</v>
      </c>
      <c r="F17" s="582">
        <v>1202488.888888889</v>
      </c>
      <c r="G17" s="606">
        <v>85515.508884209848</v>
      </c>
      <c r="H17" s="585">
        <v>85515.508884209848</v>
      </c>
      <c r="I17" s="473">
        <f>H17-G17</f>
        <v>0</v>
      </c>
      <c r="J17" s="473"/>
      <c r="K17" s="552">
        <f t="shared" ref="K17:K22" si="0">+G17</f>
        <v>85515.508884209848</v>
      </c>
      <c r="L17" s="475">
        <f t="shared" ref="L17:L72" si="1">IF(K17&lt;&gt;0,+G17-K17,0)</f>
        <v>0</v>
      </c>
      <c r="M17" s="552">
        <f t="shared" ref="M17:M22" si="2">+H17</f>
        <v>85515.508884209848</v>
      </c>
      <c r="N17" s="475">
        <f t="shared" ref="N17:N72" si="3">IF(M17&lt;&gt;0,+H17-M17,0)</f>
        <v>0</v>
      </c>
      <c r="O17" s="476">
        <f t="shared" ref="O17:O72" si="4">+N17-L17</f>
        <v>0</v>
      </c>
      <c r="P17" s="241"/>
    </row>
    <row r="18" spans="2:16">
      <c r="B18" s="160" t="str">
        <f>IF(D18=F17,"","IU")</f>
        <v/>
      </c>
      <c r="C18" s="470">
        <f>IF(D11="","-",+C17+1)</f>
        <v>2019</v>
      </c>
      <c r="D18" s="582">
        <v>1202488.888888889</v>
      </c>
      <c r="E18" s="583">
        <v>30400</v>
      </c>
      <c r="F18" s="582">
        <v>1172088.888888889</v>
      </c>
      <c r="G18" s="583">
        <v>162968.67771034624</v>
      </c>
      <c r="H18" s="585">
        <v>162968.67771034624</v>
      </c>
      <c r="I18" s="473">
        <f>H18-G18</f>
        <v>0</v>
      </c>
      <c r="J18" s="473"/>
      <c r="K18" s="476">
        <f t="shared" si="0"/>
        <v>162968.67771034624</v>
      </c>
      <c r="L18" s="476">
        <f t="shared" si="1"/>
        <v>0</v>
      </c>
      <c r="M18" s="476">
        <f t="shared" si="2"/>
        <v>162968.67771034624</v>
      </c>
      <c r="N18" s="476">
        <f t="shared" si="3"/>
        <v>0</v>
      </c>
      <c r="O18" s="476">
        <f t="shared" si="4"/>
        <v>0</v>
      </c>
      <c r="P18" s="241"/>
    </row>
    <row r="19" spans="2:16">
      <c r="B19" s="160" t="str">
        <f>IF(D19=F18,"","IU")</f>
        <v>IU</v>
      </c>
      <c r="C19" s="470">
        <f>IF(D11="","-",+C18+1)</f>
        <v>2020</v>
      </c>
      <c r="D19" s="582">
        <v>1304405.6666666667</v>
      </c>
      <c r="E19" s="583">
        <v>32022.357142857141</v>
      </c>
      <c r="F19" s="582">
        <v>1272383.3095238097</v>
      </c>
      <c r="G19" s="583">
        <v>171175.11640159666</v>
      </c>
      <c r="H19" s="585">
        <v>171175.11640159666</v>
      </c>
      <c r="I19" s="473">
        <f t="shared" ref="I19:I71" si="5">H19-G19</f>
        <v>0</v>
      </c>
      <c r="J19" s="473"/>
      <c r="K19" s="476">
        <f t="shared" si="0"/>
        <v>171175.11640159666</v>
      </c>
      <c r="L19" s="476">
        <f t="shared" ref="L19" si="6">IF(K19&lt;&gt;0,+G19-K19,0)</f>
        <v>0</v>
      </c>
      <c r="M19" s="476">
        <f t="shared" si="2"/>
        <v>171175.11640159666</v>
      </c>
      <c r="N19" s="476">
        <f t="shared" si="3"/>
        <v>0</v>
      </c>
      <c r="O19" s="476">
        <f t="shared" si="4"/>
        <v>0</v>
      </c>
      <c r="P19" s="241"/>
    </row>
    <row r="20" spans="2:16">
      <c r="B20" s="160" t="str">
        <f t="shared" ref="B20:B72" si="7">IF(D20=F19,"","IU")</f>
        <v>IU</v>
      </c>
      <c r="C20" s="470">
        <f>IF(D11="","-",+C19+1)</f>
        <v>2021</v>
      </c>
      <c r="D20" s="582">
        <v>1269449.5317460317</v>
      </c>
      <c r="E20" s="583">
        <v>31287.976744186046</v>
      </c>
      <c r="F20" s="582">
        <v>1238161.5550018456</v>
      </c>
      <c r="G20" s="583">
        <v>166475.36158990141</v>
      </c>
      <c r="H20" s="585">
        <v>166475.36158990141</v>
      </c>
      <c r="I20" s="473">
        <f t="shared" si="5"/>
        <v>0</v>
      </c>
      <c r="J20" s="473"/>
      <c r="K20" s="476">
        <f t="shared" si="0"/>
        <v>166475.36158990141</v>
      </c>
      <c r="L20" s="476">
        <f t="shared" ref="L20" si="8">IF(K20&lt;&gt;0,+G20-K20,0)</f>
        <v>0</v>
      </c>
      <c r="M20" s="476">
        <f t="shared" si="2"/>
        <v>166475.36158990141</v>
      </c>
      <c r="N20" s="476">
        <f t="shared" si="3"/>
        <v>0</v>
      </c>
      <c r="O20" s="476">
        <f t="shared" si="4"/>
        <v>0</v>
      </c>
      <c r="P20" s="241"/>
    </row>
    <row r="21" spans="2:16">
      <c r="B21" s="160" t="str">
        <f t="shared" si="7"/>
        <v/>
      </c>
      <c r="C21" s="470">
        <f>IF(D11="","-",+C20+1)</f>
        <v>2022</v>
      </c>
      <c r="D21" s="582">
        <v>1238161.5550018456</v>
      </c>
      <c r="E21" s="583">
        <v>32032.928571428572</v>
      </c>
      <c r="F21" s="582">
        <v>1206128.6264304169</v>
      </c>
      <c r="G21" s="583">
        <v>163793.91335875148</v>
      </c>
      <c r="H21" s="585">
        <v>163793.91335875148</v>
      </c>
      <c r="I21" s="473">
        <f t="shared" si="5"/>
        <v>0</v>
      </c>
      <c r="J21" s="473"/>
      <c r="K21" s="476">
        <f t="shared" si="0"/>
        <v>163793.91335875148</v>
      </c>
      <c r="L21" s="476">
        <f t="shared" ref="L21" si="9">IF(K21&lt;&gt;0,+G21-K21,0)</f>
        <v>0</v>
      </c>
      <c r="M21" s="476">
        <f t="shared" si="2"/>
        <v>163793.91335875148</v>
      </c>
      <c r="N21" s="476">
        <f t="shared" si="3"/>
        <v>0</v>
      </c>
      <c r="O21" s="476">
        <f t="shared" si="4"/>
        <v>0</v>
      </c>
      <c r="P21" s="241"/>
    </row>
    <row r="22" spans="2:16">
      <c r="B22" s="160" t="str">
        <f t="shared" si="7"/>
        <v>IU</v>
      </c>
      <c r="C22" s="470">
        <f>IF(D11="","-",+C21+1)</f>
        <v>2023</v>
      </c>
      <c r="D22" s="582">
        <v>1206128.2464304173</v>
      </c>
      <c r="E22" s="583">
        <v>34496.990256410259</v>
      </c>
      <c r="F22" s="582">
        <v>1171631.256174007</v>
      </c>
      <c r="G22" s="583">
        <v>176400.42982895498</v>
      </c>
      <c r="H22" s="585">
        <v>176400.42982895498</v>
      </c>
      <c r="I22" s="473">
        <f t="shared" si="5"/>
        <v>0</v>
      </c>
      <c r="J22" s="473"/>
      <c r="K22" s="476">
        <f t="shared" si="0"/>
        <v>176400.42982895498</v>
      </c>
      <c r="L22" s="476">
        <f t="shared" ref="L22" si="10">IF(K22&lt;&gt;0,+G22-K22,0)</f>
        <v>0</v>
      </c>
      <c r="M22" s="476">
        <f t="shared" si="2"/>
        <v>176400.42982895498</v>
      </c>
      <c r="N22" s="476">
        <f t="shared" ref="N22" si="11">IF(M22&lt;&gt;0,+H22-M22,0)</f>
        <v>0</v>
      </c>
      <c r="O22" s="476">
        <f t="shared" ref="O22" si="12">+N22-L22</f>
        <v>0</v>
      </c>
      <c r="P22" s="241"/>
    </row>
    <row r="23" spans="2:16">
      <c r="B23" s="160" t="str">
        <f t="shared" si="7"/>
        <v/>
      </c>
      <c r="C23" s="631">
        <f>IF(D11="","-",+C22+1)</f>
        <v>2024</v>
      </c>
      <c r="D23" s="481">
        <f>IF(F22+SUM(E$17:E22)=D$10,F22,D$10-SUM(E$17:E22))</f>
        <v>1171631.256174007</v>
      </c>
      <c r="E23" s="482">
        <f t="shared" ref="E23:E71" si="13">IF(+I$14&lt;F22,I$14,D23)</f>
        <v>35404.805789473685</v>
      </c>
      <c r="F23" s="483">
        <f t="shared" ref="F23:F71" si="14">+D23-E23</f>
        <v>1136226.4503845333</v>
      </c>
      <c r="G23" s="484">
        <f t="shared" ref="G23:G71" si="15">(D23+F23)/2*I$12+E23</f>
        <v>166652.89001495793</v>
      </c>
      <c r="H23" s="453">
        <f t="shared" ref="H23:H71" si="16">+(D23+F23)/2*I$13+E23</f>
        <v>166652.89001495793</v>
      </c>
      <c r="I23" s="473">
        <f t="shared" si="5"/>
        <v>0</v>
      </c>
      <c r="J23" s="473"/>
      <c r="K23" s="485"/>
      <c r="L23" s="476">
        <f t="shared" si="1"/>
        <v>0</v>
      </c>
      <c r="M23" s="485"/>
      <c r="N23" s="476">
        <f t="shared" si="3"/>
        <v>0</v>
      </c>
      <c r="O23" s="476">
        <f t="shared" si="4"/>
        <v>0</v>
      </c>
      <c r="P23" s="241"/>
    </row>
    <row r="24" spans="2:16">
      <c r="B24" s="160" t="str">
        <f t="shared" si="7"/>
        <v/>
      </c>
      <c r="C24" s="470">
        <f>IF(D11="","-",+C23+1)</f>
        <v>2025</v>
      </c>
      <c r="D24" s="481">
        <f>IF(F23+SUM(E$17:E23)=D$10,F23,D$10-SUM(E$17:E23))</f>
        <v>1136226.4503845333</v>
      </c>
      <c r="E24" s="482">
        <f t="shared" si="13"/>
        <v>35404.805789473685</v>
      </c>
      <c r="F24" s="483">
        <f t="shared" si="14"/>
        <v>1100821.6445950596</v>
      </c>
      <c r="G24" s="484">
        <f t="shared" si="15"/>
        <v>162625.94076324423</v>
      </c>
      <c r="H24" s="453">
        <f t="shared" si="16"/>
        <v>162625.94076324423</v>
      </c>
      <c r="I24" s="473">
        <f t="shared" si="5"/>
        <v>0</v>
      </c>
      <c r="J24" s="473"/>
      <c r="K24" s="485"/>
      <c r="L24" s="476">
        <f t="shared" si="1"/>
        <v>0</v>
      </c>
      <c r="M24" s="485"/>
      <c r="N24" s="476">
        <f t="shared" si="3"/>
        <v>0</v>
      </c>
      <c r="O24" s="476">
        <f t="shared" si="4"/>
        <v>0</v>
      </c>
      <c r="P24" s="241"/>
    </row>
    <row r="25" spans="2:16">
      <c r="B25" s="160" t="str">
        <f t="shared" si="7"/>
        <v/>
      </c>
      <c r="C25" s="470">
        <f>IF(D11="","-",+C24+1)</f>
        <v>2026</v>
      </c>
      <c r="D25" s="481">
        <f>IF(F24+SUM(E$17:E24)=D$10,F24,D$10-SUM(E$17:E24))</f>
        <v>1100821.6445950596</v>
      </c>
      <c r="E25" s="482">
        <f t="shared" si="13"/>
        <v>35404.805789473685</v>
      </c>
      <c r="F25" s="483">
        <f t="shared" si="14"/>
        <v>1065416.8388055859</v>
      </c>
      <c r="G25" s="484">
        <f t="shared" si="15"/>
        <v>158598.99151153059</v>
      </c>
      <c r="H25" s="453">
        <f t="shared" si="16"/>
        <v>158598.99151153059</v>
      </c>
      <c r="I25" s="473">
        <f t="shared" si="5"/>
        <v>0</v>
      </c>
      <c r="J25" s="473"/>
      <c r="K25" s="485"/>
      <c r="L25" s="476">
        <f t="shared" si="1"/>
        <v>0</v>
      </c>
      <c r="M25" s="485"/>
      <c r="N25" s="476">
        <f t="shared" si="3"/>
        <v>0</v>
      </c>
      <c r="O25" s="476">
        <f t="shared" si="4"/>
        <v>0</v>
      </c>
      <c r="P25" s="241"/>
    </row>
    <row r="26" spans="2:16">
      <c r="B26" s="160" t="str">
        <f t="shared" si="7"/>
        <v/>
      </c>
      <c r="C26" s="470">
        <f>IF(D11="","-",+C25+1)</f>
        <v>2027</v>
      </c>
      <c r="D26" s="481">
        <f>IF(F25+SUM(E$17:E25)=D$10,F25,D$10-SUM(E$17:E25))</f>
        <v>1065416.8388055859</v>
      </c>
      <c r="E26" s="482">
        <f t="shared" si="13"/>
        <v>35404.805789473685</v>
      </c>
      <c r="F26" s="483">
        <f t="shared" si="14"/>
        <v>1030012.0330161122</v>
      </c>
      <c r="G26" s="484">
        <f t="shared" si="15"/>
        <v>154572.04225981695</v>
      </c>
      <c r="H26" s="453">
        <f t="shared" si="16"/>
        <v>154572.04225981695</v>
      </c>
      <c r="I26" s="473">
        <f t="shared" si="5"/>
        <v>0</v>
      </c>
      <c r="J26" s="473"/>
      <c r="K26" s="485"/>
      <c r="L26" s="476">
        <f t="shared" si="1"/>
        <v>0</v>
      </c>
      <c r="M26" s="485"/>
      <c r="N26" s="476">
        <f t="shared" si="3"/>
        <v>0</v>
      </c>
      <c r="O26" s="476">
        <f t="shared" si="4"/>
        <v>0</v>
      </c>
      <c r="P26" s="241"/>
    </row>
    <row r="27" spans="2:16">
      <c r="B27" s="160" t="str">
        <f t="shared" si="7"/>
        <v/>
      </c>
      <c r="C27" s="470">
        <f>IF(D11="","-",+C26+1)</f>
        <v>2028</v>
      </c>
      <c r="D27" s="481">
        <f>IF(F26+SUM(E$17:E26)=D$10,F26,D$10-SUM(E$17:E26))</f>
        <v>1030012.0330161122</v>
      </c>
      <c r="E27" s="482">
        <f t="shared" si="13"/>
        <v>35404.805789473685</v>
      </c>
      <c r="F27" s="483">
        <f t="shared" si="14"/>
        <v>994607.22722663847</v>
      </c>
      <c r="G27" s="484">
        <f t="shared" si="15"/>
        <v>150545.09300810329</v>
      </c>
      <c r="H27" s="453">
        <f t="shared" si="16"/>
        <v>150545.09300810329</v>
      </c>
      <c r="I27" s="473">
        <f t="shared" si="5"/>
        <v>0</v>
      </c>
      <c r="J27" s="473"/>
      <c r="K27" s="485"/>
      <c r="L27" s="476">
        <f t="shared" si="1"/>
        <v>0</v>
      </c>
      <c r="M27" s="485"/>
      <c r="N27" s="476">
        <f t="shared" si="3"/>
        <v>0</v>
      </c>
      <c r="O27" s="476">
        <f t="shared" si="4"/>
        <v>0</v>
      </c>
      <c r="P27" s="241"/>
    </row>
    <row r="28" spans="2:16">
      <c r="B28" s="160" t="str">
        <f t="shared" si="7"/>
        <v/>
      </c>
      <c r="C28" s="470">
        <f>IF(D11="","-",+C27+1)</f>
        <v>2029</v>
      </c>
      <c r="D28" s="481">
        <f>IF(F27+SUM(E$17:E27)=D$10,F27,D$10-SUM(E$17:E27))</f>
        <v>994607.22722663847</v>
      </c>
      <c r="E28" s="482">
        <f t="shared" si="13"/>
        <v>35404.805789473685</v>
      </c>
      <c r="F28" s="483">
        <f t="shared" si="14"/>
        <v>959202.42143716477</v>
      </c>
      <c r="G28" s="484">
        <f t="shared" si="15"/>
        <v>146518.14375638962</v>
      </c>
      <c r="H28" s="453">
        <f t="shared" si="16"/>
        <v>146518.14375638962</v>
      </c>
      <c r="I28" s="473">
        <f t="shared" si="5"/>
        <v>0</v>
      </c>
      <c r="J28" s="473"/>
      <c r="K28" s="485"/>
      <c r="L28" s="476">
        <f t="shared" si="1"/>
        <v>0</v>
      </c>
      <c r="M28" s="485"/>
      <c r="N28" s="476">
        <f t="shared" si="3"/>
        <v>0</v>
      </c>
      <c r="O28" s="476">
        <f t="shared" si="4"/>
        <v>0</v>
      </c>
      <c r="P28" s="241"/>
    </row>
    <row r="29" spans="2:16">
      <c r="B29" s="160" t="str">
        <f t="shared" si="7"/>
        <v/>
      </c>
      <c r="C29" s="470">
        <f>IF(D11="","-",+C28+1)</f>
        <v>2030</v>
      </c>
      <c r="D29" s="481">
        <f>IF(F28+SUM(E$17:E28)=D$10,F28,D$10-SUM(E$17:E28))</f>
        <v>959202.42143716477</v>
      </c>
      <c r="E29" s="482">
        <f t="shared" si="13"/>
        <v>35404.805789473685</v>
      </c>
      <c r="F29" s="483">
        <f t="shared" si="14"/>
        <v>923797.61564769107</v>
      </c>
      <c r="G29" s="484">
        <f t="shared" si="15"/>
        <v>142491.19450467598</v>
      </c>
      <c r="H29" s="453">
        <f t="shared" si="16"/>
        <v>142491.19450467598</v>
      </c>
      <c r="I29" s="473">
        <f t="shared" si="5"/>
        <v>0</v>
      </c>
      <c r="J29" s="473"/>
      <c r="K29" s="485"/>
      <c r="L29" s="476">
        <f t="shared" si="1"/>
        <v>0</v>
      </c>
      <c r="M29" s="485"/>
      <c r="N29" s="476">
        <f t="shared" si="3"/>
        <v>0</v>
      </c>
      <c r="O29" s="476">
        <f t="shared" si="4"/>
        <v>0</v>
      </c>
      <c r="P29" s="241"/>
    </row>
    <row r="30" spans="2:16">
      <c r="B30" s="160" t="str">
        <f t="shared" si="7"/>
        <v/>
      </c>
      <c r="C30" s="470">
        <f>IF(D11="","-",+C29+1)</f>
        <v>2031</v>
      </c>
      <c r="D30" s="481">
        <f>IF(F29+SUM(E$17:E29)=D$10,F29,D$10-SUM(E$17:E29))</f>
        <v>923797.61564769107</v>
      </c>
      <c r="E30" s="482">
        <f t="shared" si="13"/>
        <v>35404.805789473685</v>
      </c>
      <c r="F30" s="483">
        <f t="shared" si="14"/>
        <v>888392.80985821737</v>
      </c>
      <c r="G30" s="484">
        <f t="shared" si="15"/>
        <v>138464.24525296231</v>
      </c>
      <c r="H30" s="453">
        <f t="shared" si="16"/>
        <v>138464.24525296231</v>
      </c>
      <c r="I30" s="473">
        <f t="shared" si="5"/>
        <v>0</v>
      </c>
      <c r="J30" s="473"/>
      <c r="K30" s="485"/>
      <c r="L30" s="476">
        <f t="shared" si="1"/>
        <v>0</v>
      </c>
      <c r="M30" s="485"/>
      <c r="N30" s="476">
        <f t="shared" si="3"/>
        <v>0</v>
      </c>
      <c r="O30" s="476">
        <f t="shared" si="4"/>
        <v>0</v>
      </c>
      <c r="P30" s="241"/>
    </row>
    <row r="31" spans="2:16">
      <c r="B31" s="160" t="str">
        <f t="shared" si="7"/>
        <v/>
      </c>
      <c r="C31" s="470">
        <f>IF(D11="","-",+C30+1)</f>
        <v>2032</v>
      </c>
      <c r="D31" s="481">
        <f>IF(F30+SUM(E$17:E30)=D$10,F30,D$10-SUM(E$17:E30))</f>
        <v>888392.80985821737</v>
      </c>
      <c r="E31" s="482">
        <f t="shared" si="13"/>
        <v>35404.805789473685</v>
      </c>
      <c r="F31" s="483">
        <f t="shared" si="14"/>
        <v>852988.00406874367</v>
      </c>
      <c r="G31" s="484">
        <f t="shared" si="15"/>
        <v>134437.29600124864</v>
      </c>
      <c r="H31" s="453">
        <f t="shared" si="16"/>
        <v>134437.29600124864</v>
      </c>
      <c r="I31" s="473">
        <f t="shared" si="5"/>
        <v>0</v>
      </c>
      <c r="J31" s="473"/>
      <c r="K31" s="485"/>
      <c r="L31" s="476">
        <f t="shared" si="1"/>
        <v>0</v>
      </c>
      <c r="M31" s="485"/>
      <c r="N31" s="476">
        <f t="shared" si="3"/>
        <v>0</v>
      </c>
      <c r="O31" s="476">
        <f t="shared" si="4"/>
        <v>0</v>
      </c>
      <c r="P31" s="241"/>
    </row>
    <row r="32" spans="2:16">
      <c r="B32" s="160" t="str">
        <f t="shared" si="7"/>
        <v/>
      </c>
      <c r="C32" s="470">
        <f>IF(D11="","-",+C31+1)</f>
        <v>2033</v>
      </c>
      <c r="D32" s="481">
        <f>IF(F31+SUM(E$17:E31)=D$10,F31,D$10-SUM(E$17:E31))</f>
        <v>852988.00406874367</v>
      </c>
      <c r="E32" s="482">
        <f t="shared" si="13"/>
        <v>35404.805789473685</v>
      </c>
      <c r="F32" s="483">
        <f t="shared" si="14"/>
        <v>817583.19827926997</v>
      </c>
      <c r="G32" s="484">
        <f t="shared" si="15"/>
        <v>130410.34674953499</v>
      </c>
      <c r="H32" s="453">
        <f t="shared" si="16"/>
        <v>130410.34674953499</v>
      </c>
      <c r="I32" s="473">
        <f t="shared" si="5"/>
        <v>0</v>
      </c>
      <c r="J32" s="473"/>
      <c r="K32" s="485"/>
      <c r="L32" s="476">
        <f t="shared" si="1"/>
        <v>0</v>
      </c>
      <c r="M32" s="485"/>
      <c r="N32" s="476">
        <f t="shared" si="3"/>
        <v>0</v>
      </c>
      <c r="O32" s="476">
        <f t="shared" si="4"/>
        <v>0</v>
      </c>
      <c r="P32" s="241"/>
    </row>
    <row r="33" spans="2:16">
      <c r="B33" s="160" t="str">
        <f t="shared" si="7"/>
        <v/>
      </c>
      <c r="C33" s="470">
        <f>IF(D11="","-",+C32+1)</f>
        <v>2034</v>
      </c>
      <c r="D33" s="481">
        <f>IF(F32+SUM(E$17:E32)=D$10,F32,D$10-SUM(E$17:E32))</f>
        <v>817583.19827926997</v>
      </c>
      <c r="E33" s="482">
        <f t="shared" si="13"/>
        <v>35404.805789473685</v>
      </c>
      <c r="F33" s="483">
        <f t="shared" si="14"/>
        <v>782178.39248979627</v>
      </c>
      <c r="G33" s="484">
        <f t="shared" si="15"/>
        <v>126383.39749782134</v>
      </c>
      <c r="H33" s="453">
        <f t="shared" si="16"/>
        <v>126383.39749782134</v>
      </c>
      <c r="I33" s="473">
        <f t="shared" si="5"/>
        <v>0</v>
      </c>
      <c r="J33" s="473"/>
      <c r="K33" s="485"/>
      <c r="L33" s="476">
        <f t="shared" si="1"/>
        <v>0</v>
      </c>
      <c r="M33" s="485"/>
      <c r="N33" s="476">
        <f t="shared" si="3"/>
        <v>0</v>
      </c>
      <c r="O33" s="476">
        <f t="shared" si="4"/>
        <v>0</v>
      </c>
      <c r="P33" s="241"/>
    </row>
    <row r="34" spans="2:16">
      <c r="B34" s="160" t="str">
        <f t="shared" si="7"/>
        <v/>
      </c>
      <c r="C34" s="470">
        <f>IF(D11="","-",+C33+1)</f>
        <v>2035</v>
      </c>
      <c r="D34" s="481">
        <f>IF(F33+SUM(E$17:E33)=D$10,F33,D$10-SUM(E$17:E33))</f>
        <v>782178.39248979627</v>
      </c>
      <c r="E34" s="482">
        <f t="shared" si="13"/>
        <v>35404.805789473685</v>
      </c>
      <c r="F34" s="483">
        <f t="shared" si="14"/>
        <v>746773.58670032257</v>
      </c>
      <c r="G34" s="484">
        <f t="shared" si="15"/>
        <v>122356.44824610768</v>
      </c>
      <c r="H34" s="453">
        <f t="shared" si="16"/>
        <v>122356.44824610768</v>
      </c>
      <c r="I34" s="473">
        <f t="shared" si="5"/>
        <v>0</v>
      </c>
      <c r="J34" s="473"/>
      <c r="K34" s="485"/>
      <c r="L34" s="476">
        <f t="shared" si="1"/>
        <v>0</v>
      </c>
      <c r="M34" s="485"/>
      <c r="N34" s="476">
        <f t="shared" si="3"/>
        <v>0</v>
      </c>
      <c r="O34" s="476">
        <f t="shared" si="4"/>
        <v>0</v>
      </c>
      <c r="P34" s="241"/>
    </row>
    <row r="35" spans="2:16">
      <c r="B35" s="160" t="str">
        <f t="shared" si="7"/>
        <v/>
      </c>
      <c r="C35" s="470">
        <f>IF(D11="","-",+C34+1)</f>
        <v>2036</v>
      </c>
      <c r="D35" s="481">
        <f>IF(F34+SUM(E$17:E34)=D$10,F34,D$10-SUM(E$17:E34))</f>
        <v>746773.58670032257</v>
      </c>
      <c r="E35" s="482">
        <f t="shared" si="13"/>
        <v>35404.805789473685</v>
      </c>
      <c r="F35" s="483">
        <f t="shared" si="14"/>
        <v>711368.78091084887</v>
      </c>
      <c r="G35" s="484">
        <f t="shared" si="15"/>
        <v>118329.49899439402</v>
      </c>
      <c r="H35" s="453">
        <f t="shared" si="16"/>
        <v>118329.49899439402</v>
      </c>
      <c r="I35" s="473">
        <f t="shared" si="5"/>
        <v>0</v>
      </c>
      <c r="J35" s="473"/>
      <c r="K35" s="485"/>
      <c r="L35" s="476">
        <f t="shared" si="1"/>
        <v>0</v>
      </c>
      <c r="M35" s="485"/>
      <c r="N35" s="476">
        <f t="shared" si="3"/>
        <v>0</v>
      </c>
      <c r="O35" s="476">
        <f t="shared" si="4"/>
        <v>0</v>
      </c>
      <c r="P35" s="241"/>
    </row>
    <row r="36" spans="2:16">
      <c r="B36" s="160" t="str">
        <f t="shared" si="7"/>
        <v/>
      </c>
      <c r="C36" s="470">
        <f>IF(D11="","-",+C35+1)</f>
        <v>2037</v>
      </c>
      <c r="D36" s="481">
        <f>IF(F35+SUM(E$17:E35)=D$10,F35,D$10-SUM(E$17:E35))</f>
        <v>711368.78091084887</v>
      </c>
      <c r="E36" s="482">
        <f t="shared" si="13"/>
        <v>35404.805789473685</v>
      </c>
      <c r="F36" s="483">
        <f t="shared" si="14"/>
        <v>675963.97512137517</v>
      </c>
      <c r="G36" s="484">
        <f t="shared" si="15"/>
        <v>114302.54974268036</v>
      </c>
      <c r="H36" s="453">
        <f t="shared" si="16"/>
        <v>114302.54974268036</v>
      </c>
      <c r="I36" s="473">
        <f t="shared" si="5"/>
        <v>0</v>
      </c>
      <c r="J36" s="473"/>
      <c r="K36" s="485"/>
      <c r="L36" s="476">
        <f t="shared" si="1"/>
        <v>0</v>
      </c>
      <c r="M36" s="485"/>
      <c r="N36" s="476">
        <f t="shared" si="3"/>
        <v>0</v>
      </c>
      <c r="O36" s="476">
        <f t="shared" si="4"/>
        <v>0</v>
      </c>
      <c r="P36" s="241"/>
    </row>
    <row r="37" spans="2:16">
      <c r="B37" s="160" t="str">
        <f t="shared" si="7"/>
        <v/>
      </c>
      <c r="C37" s="470">
        <f>IF(D11="","-",+C36+1)</f>
        <v>2038</v>
      </c>
      <c r="D37" s="481">
        <f>IF(F36+SUM(E$17:E36)=D$10,F36,D$10-SUM(E$17:E36))</f>
        <v>675963.97512137517</v>
      </c>
      <c r="E37" s="482">
        <f t="shared" si="13"/>
        <v>35404.805789473685</v>
      </c>
      <c r="F37" s="483">
        <f t="shared" si="14"/>
        <v>640559.16933190147</v>
      </c>
      <c r="G37" s="484">
        <f t="shared" si="15"/>
        <v>110275.60049096671</v>
      </c>
      <c r="H37" s="453">
        <f t="shared" si="16"/>
        <v>110275.60049096671</v>
      </c>
      <c r="I37" s="473">
        <f t="shared" si="5"/>
        <v>0</v>
      </c>
      <c r="J37" s="473"/>
      <c r="K37" s="485"/>
      <c r="L37" s="476">
        <f t="shared" si="1"/>
        <v>0</v>
      </c>
      <c r="M37" s="485"/>
      <c r="N37" s="476">
        <f t="shared" si="3"/>
        <v>0</v>
      </c>
      <c r="O37" s="476">
        <f t="shared" si="4"/>
        <v>0</v>
      </c>
      <c r="P37" s="241"/>
    </row>
    <row r="38" spans="2:16">
      <c r="B38" s="160" t="str">
        <f t="shared" si="7"/>
        <v/>
      </c>
      <c r="C38" s="470">
        <f>IF(D11="","-",+C37+1)</f>
        <v>2039</v>
      </c>
      <c r="D38" s="481">
        <f>IF(F37+SUM(E$17:E37)=D$10,F37,D$10-SUM(E$17:E37))</f>
        <v>640559.16933190147</v>
      </c>
      <c r="E38" s="482">
        <f t="shared" si="13"/>
        <v>35404.805789473685</v>
      </c>
      <c r="F38" s="483">
        <f t="shared" si="14"/>
        <v>605154.36354242777</v>
      </c>
      <c r="G38" s="484">
        <f t="shared" si="15"/>
        <v>106248.65123925304</v>
      </c>
      <c r="H38" s="453">
        <f t="shared" si="16"/>
        <v>106248.65123925304</v>
      </c>
      <c r="I38" s="473">
        <f t="shared" si="5"/>
        <v>0</v>
      </c>
      <c r="J38" s="473"/>
      <c r="K38" s="485"/>
      <c r="L38" s="476">
        <f t="shared" si="1"/>
        <v>0</v>
      </c>
      <c r="M38" s="485"/>
      <c r="N38" s="476">
        <f t="shared" si="3"/>
        <v>0</v>
      </c>
      <c r="O38" s="476">
        <f t="shared" si="4"/>
        <v>0</v>
      </c>
      <c r="P38" s="241"/>
    </row>
    <row r="39" spans="2:16">
      <c r="B39" s="160" t="str">
        <f t="shared" si="7"/>
        <v/>
      </c>
      <c r="C39" s="470">
        <f>IF(D11="","-",+C38+1)</f>
        <v>2040</v>
      </c>
      <c r="D39" s="481">
        <f>IF(F38+SUM(E$17:E38)=D$10,F38,D$10-SUM(E$17:E38))</f>
        <v>605154.36354242777</v>
      </c>
      <c r="E39" s="482">
        <f t="shared" si="13"/>
        <v>35404.805789473685</v>
      </c>
      <c r="F39" s="483">
        <f t="shared" si="14"/>
        <v>569749.55775295408</v>
      </c>
      <c r="G39" s="484">
        <f t="shared" si="15"/>
        <v>102221.70198753939</v>
      </c>
      <c r="H39" s="453">
        <f t="shared" si="16"/>
        <v>102221.70198753939</v>
      </c>
      <c r="I39" s="473">
        <f t="shared" si="5"/>
        <v>0</v>
      </c>
      <c r="J39" s="473"/>
      <c r="K39" s="485"/>
      <c r="L39" s="476">
        <f t="shared" si="1"/>
        <v>0</v>
      </c>
      <c r="M39" s="485"/>
      <c r="N39" s="476">
        <f t="shared" si="3"/>
        <v>0</v>
      </c>
      <c r="O39" s="476">
        <f t="shared" si="4"/>
        <v>0</v>
      </c>
      <c r="P39" s="241"/>
    </row>
    <row r="40" spans="2:16">
      <c r="B40" s="160" t="str">
        <f t="shared" si="7"/>
        <v/>
      </c>
      <c r="C40" s="470">
        <f>IF(D11="","-",+C39+1)</f>
        <v>2041</v>
      </c>
      <c r="D40" s="481">
        <f>IF(F39+SUM(E$17:E39)=D$10,F39,D$10-SUM(E$17:E39))</f>
        <v>569749.55775295408</v>
      </c>
      <c r="E40" s="482">
        <f t="shared" si="13"/>
        <v>35404.805789473685</v>
      </c>
      <c r="F40" s="483">
        <f t="shared" si="14"/>
        <v>534344.75196348038</v>
      </c>
      <c r="G40" s="484">
        <f t="shared" si="15"/>
        <v>98194.752735825736</v>
      </c>
      <c r="H40" s="453">
        <f t="shared" si="16"/>
        <v>98194.752735825736</v>
      </c>
      <c r="I40" s="473">
        <f t="shared" si="5"/>
        <v>0</v>
      </c>
      <c r="J40" s="473"/>
      <c r="K40" s="485"/>
      <c r="L40" s="476">
        <f t="shared" si="1"/>
        <v>0</v>
      </c>
      <c r="M40" s="485"/>
      <c r="N40" s="476">
        <f t="shared" si="3"/>
        <v>0</v>
      </c>
      <c r="O40" s="476">
        <f t="shared" si="4"/>
        <v>0</v>
      </c>
      <c r="P40" s="241"/>
    </row>
    <row r="41" spans="2:16">
      <c r="B41" s="160" t="str">
        <f t="shared" si="7"/>
        <v/>
      </c>
      <c r="C41" s="470">
        <f>IF(D11="","-",+C40+1)</f>
        <v>2042</v>
      </c>
      <c r="D41" s="481">
        <f>IF(F40+SUM(E$17:E40)=D$10,F40,D$10-SUM(E$17:E40))</f>
        <v>534344.75196348038</v>
      </c>
      <c r="E41" s="482">
        <f t="shared" si="13"/>
        <v>35404.805789473685</v>
      </c>
      <c r="F41" s="483">
        <f t="shared" si="14"/>
        <v>498939.94617400668</v>
      </c>
      <c r="G41" s="484">
        <f t="shared" si="15"/>
        <v>94167.803484112083</v>
      </c>
      <c r="H41" s="453">
        <f t="shared" si="16"/>
        <v>94167.803484112083</v>
      </c>
      <c r="I41" s="473">
        <f t="shared" si="5"/>
        <v>0</v>
      </c>
      <c r="J41" s="473"/>
      <c r="K41" s="485"/>
      <c r="L41" s="476">
        <f t="shared" si="1"/>
        <v>0</v>
      </c>
      <c r="M41" s="485"/>
      <c r="N41" s="476">
        <f t="shared" si="3"/>
        <v>0</v>
      </c>
      <c r="O41" s="476">
        <f t="shared" si="4"/>
        <v>0</v>
      </c>
      <c r="P41" s="241"/>
    </row>
    <row r="42" spans="2:16">
      <c r="B42" s="160" t="str">
        <f t="shared" si="7"/>
        <v/>
      </c>
      <c r="C42" s="470">
        <f>IF(D11="","-",+C41+1)</f>
        <v>2043</v>
      </c>
      <c r="D42" s="481">
        <f>IF(F41+SUM(E$17:E41)=D$10,F41,D$10-SUM(E$17:E41))</f>
        <v>498939.94617400668</v>
      </c>
      <c r="E42" s="482">
        <f t="shared" si="13"/>
        <v>35404.805789473685</v>
      </c>
      <c r="F42" s="483">
        <f t="shared" si="14"/>
        <v>463535.14038453298</v>
      </c>
      <c r="G42" s="484">
        <f t="shared" si="15"/>
        <v>90140.854232398415</v>
      </c>
      <c r="H42" s="453">
        <f t="shared" si="16"/>
        <v>90140.854232398415</v>
      </c>
      <c r="I42" s="473">
        <f t="shared" si="5"/>
        <v>0</v>
      </c>
      <c r="J42" s="473"/>
      <c r="K42" s="485"/>
      <c r="L42" s="476">
        <f t="shared" si="1"/>
        <v>0</v>
      </c>
      <c r="M42" s="485"/>
      <c r="N42" s="476">
        <f t="shared" si="3"/>
        <v>0</v>
      </c>
      <c r="O42" s="476">
        <f t="shared" si="4"/>
        <v>0</v>
      </c>
      <c r="P42" s="241"/>
    </row>
    <row r="43" spans="2:16">
      <c r="B43" s="160" t="str">
        <f t="shared" si="7"/>
        <v/>
      </c>
      <c r="C43" s="470">
        <f>IF(D11="","-",+C42+1)</f>
        <v>2044</v>
      </c>
      <c r="D43" s="481">
        <f>IF(F42+SUM(E$17:E42)=D$10,F42,D$10-SUM(E$17:E42))</f>
        <v>463535.14038453298</v>
      </c>
      <c r="E43" s="482">
        <f t="shared" si="13"/>
        <v>35404.805789473685</v>
      </c>
      <c r="F43" s="483">
        <f t="shared" si="14"/>
        <v>428130.33459505928</v>
      </c>
      <c r="G43" s="484">
        <f t="shared" si="15"/>
        <v>86113.904980684762</v>
      </c>
      <c r="H43" s="453">
        <f t="shared" si="16"/>
        <v>86113.904980684762</v>
      </c>
      <c r="I43" s="473">
        <f t="shared" si="5"/>
        <v>0</v>
      </c>
      <c r="J43" s="473"/>
      <c r="K43" s="485"/>
      <c r="L43" s="476">
        <f t="shared" si="1"/>
        <v>0</v>
      </c>
      <c r="M43" s="485"/>
      <c r="N43" s="476">
        <f t="shared" si="3"/>
        <v>0</v>
      </c>
      <c r="O43" s="476">
        <f t="shared" si="4"/>
        <v>0</v>
      </c>
      <c r="P43" s="241"/>
    </row>
    <row r="44" spans="2:16">
      <c r="B44" s="160" t="str">
        <f t="shared" si="7"/>
        <v/>
      </c>
      <c r="C44" s="470">
        <f>IF(D11="","-",+C43+1)</f>
        <v>2045</v>
      </c>
      <c r="D44" s="481">
        <f>IF(F43+SUM(E$17:E43)=D$10,F43,D$10-SUM(E$17:E43))</f>
        <v>428130.33459505928</v>
      </c>
      <c r="E44" s="482">
        <f t="shared" si="13"/>
        <v>35404.805789473685</v>
      </c>
      <c r="F44" s="483">
        <f t="shared" si="14"/>
        <v>392725.52880558558</v>
      </c>
      <c r="G44" s="484">
        <f t="shared" si="15"/>
        <v>82086.955728971108</v>
      </c>
      <c r="H44" s="453">
        <f t="shared" si="16"/>
        <v>82086.955728971108</v>
      </c>
      <c r="I44" s="473">
        <f t="shared" si="5"/>
        <v>0</v>
      </c>
      <c r="J44" s="473"/>
      <c r="K44" s="485"/>
      <c r="L44" s="476">
        <f t="shared" si="1"/>
        <v>0</v>
      </c>
      <c r="M44" s="485"/>
      <c r="N44" s="476">
        <f t="shared" si="3"/>
        <v>0</v>
      </c>
      <c r="O44" s="476">
        <f t="shared" si="4"/>
        <v>0</v>
      </c>
      <c r="P44" s="241"/>
    </row>
    <row r="45" spans="2:16">
      <c r="B45" s="160" t="str">
        <f t="shared" si="7"/>
        <v/>
      </c>
      <c r="C45" s="470">
        <f>IF(D11="","-",+C44+1)</f>
        <v>2046</v>
      </c>
      <c r="D45" s="481">
        <f>IF(F44+SUM(E$17:E44)=D$10,F44,D$10-SUM(E$17:E44))</f>
        <v>392725.52880558558</v>
      </c>
      <c r="E45" s="482">
        <f t="shared" si="13"/>
        <v>35404.805789473685</v>
      </c>
      <c r="F45" s="483">
        <f t="shared" si="14"/>
        <v>357320.72301611188</v>
      </c>
      <c r="G45" s="484">
        <f t="shared" si="15"/>
        <v>78060.006477257441</v>
      </c>
      <c r="H45" s="453">
        <f t="shared" si="16"/>
        <v>78060.006477257441</v>
      </c>
      <c r="I45" s="473">
        <f t="shared" si="5"/>
        <v>0</v>
      </c>
      <c r="J45" s="473"/>
      <c r="K45" s="485"/>
      <c r="L45" s="476">
        <f t="shared" si="1"/>
        <v>0</v>
      </c>
      <c r="M45" s="485"/>
      <c r="N45" s="476">
        <f t="shared" si="3"/>
        <v>0</v>
      </c>
      <c r="O45" s="476">
        <f t="shared" si="4"/>
        <v>0</v>
      </c>
      <c r="P45" s="241"/>
    </row>
    <row r="46" spans="2:16">
      <c r="B46" s="160" t="str">
        <f t="shared" si="7"/>
        <v/>
      </c>
      <c r="C46" s="470">
        <f>IF(D11="","-",+C45+1)</f>
        <v>2047</v>
      </c>
      <c r="D46" s="481">
        <f>IF(F45+SUM(E$17:E45)=D$10,F45,D$10-SUM(E$17:E45))</f>
        <v>357320.72301611188</v>
      </c>
      <c r="E46" s="482">
        <f t="shared" si="13"/>
        <v>35404.805789473685</v>
      </c>
      <c r="F46" s="483">
        <f t="shared" si="14"/>
        <v>321915.91722663818</v>
      </c>
      <c r="G46" s="484">
        <f t="shared" si="15"/>
        <v>74033.057225543787</v>
      </c>
      <c r="H46" s="453">
        <f t="shared" si="16"/>
        <v>74033.057225543787</v>
      </c>
      <c r="I46" s="473">
        <f t="shared" si="5"/>
        <v>0</v>
      </c>
      <c r="J46" s="473"/>
      <c r="K46" s="485"/>
      <c r="L46" s="476">
        <f t="shared" si="1"/>
        <v>0</v>
      </c>
      <c r="M46" s="485"/>
      <c r="N46" s="476">
        <f t="shared" si="3"/>
        <v>0</v>
      </c>
      <c r="O46" s="476">
        <f t="shared" si="4"/>
        <v>0</v>
      </c>
      <c r="P46" s="241"/>
    </row>
    <row r="47" spans="2:16">
      <c r="B47" s="160" t="str">
        <f t="shared" si="7"/>
        <v/>
      </c>
      <c r="C47" s="470">
        <f>IF(D11="","-",+C46+1)</f>
        <v>2048</v>
      </c>
      <c r="D47" s="481">
        <f>IF(F46+SUM(E$17:E46)=D$10,F46,D$10-SUM(E$17:E46))</f>
        <v>321915.91722663818</v>
      </c>
      <c r="E47" s="482">
        <f t="shared" si="13"/>
        <v>35404.805789473685</v>
      </c>
      <c r="F47" s="483">
        <f t="shared" si="14"/>
        <v>286511.11143716448</v>
      </c>
      <c r="G47" s="484">
        <f t="shared" si="15"/>
        <v>70006.107973830134</v>
      </c>
      <c r="H47" s="453">
        <f t="shared" si="16"/>
        <v>70006.107973830134</v>
      </c>
      <c r="I47" s="473">
        <f t="shared" si="5"/>
        <v>0</v>
      </c>
      <c r="J47" s="473"/>
      <c r="K47" s="485"/>
      <c r="L47" s="476">
        <f t="shared" si="1"/>
        <v>0</v>
      </c>
      <c r="M47" s="485"/>
      <c r="N47" s="476">
        <f t="shared" si="3"/>
        <v>0</v>
      </c>
      <c r="O47" s="476">
        <f t="shared" si="4"/>
        <v>0</v>
      </c>
      <c r="P47" s="241"/>
    </row>
    <row r="48" spans="2:16">
      <c r="B48" s="160" t="str">
        <f t="shared" si="7"/>
        <v/>
      </c>
      <c r="C48" s="470">
        <f>IF(D11="","-",+C47+1)</f>
        <v>2049</v>
      </c>
      <c r="D48" s="481">
        <f>IF(F47+SUM(E$17:E47)=D$10,F47,D$10-SUM(E$17:E47))</f>
        <v>286511.11143716448</v>
      </c>
      <c r="E48" s="482">
        <f t="shared" si="13"/>
        <v>35404.805789473685</v>
      </c>
      <c r="F48" s="483">
        <f t="shared" si="14"/>
        <v>251106.30564769078</v>
      </c>
      <c r="G48" s="484">
        <f t="shared" si="15"/>
        <v>65979.158722116466</v>
      </c>
      <c r="H48" s="453">
        <f t="shared" si="16"/>
        <v>65979.158722116466</v>
      </c>
      <c r="I48" s="473">
        <f t="shared" si="5"/>
        <v>0</v>
      </c>
      <c r="J48" s="473"/>
      <c r="K48" s="485"/>
      <c r="L48" s="476">
        <f t="shared" si="1"/>
        <v>0</v>
      </c>
      <c r="M48" s="485"/>
      <c r="N48" s="476">
        <f t="shared" si="3"/>
        <v>0</v>
      </c>
      <c r="O48" s="476">
        <f t="shared" si="4"/>
        <v>0</v>
      </c>
      <c r="P48" s="241"/>
    </row>
    <row r="49" spans="2:16">
      <c r="B49" s="160" t="str">
        <f t="shared" si="7"/>
        <v/>
      </c>
      <c r="C49" s="470">
        <f>IF(D11="","-",+C48+1)</f>
        <v>2050</v>
      </c>
      <c r="D49" s="481">
        <f>IF(F48+SUM(E$17:E48)=D$10,F48,D$10-SUM(E$17:E48))</f>
        <v>251106.30564769078</v>
      </c>
      <c r="E49" s="482">
        <f t="shared" si="13"/>
        <v>35404.805789473685</v>
      </c>
      <c r="F49" s="483">
        <f t="shared" si="14"/>
        <v>215701.49985821708</v>
      </c>
      <c r="G49" s="484">
        <f t="shared" si="15"/>
        <v>61952.209470402813</v>
      </c>
      <c r="H49" s="453">
        <f t="shared" si="16"/>
        <v>61952.209470402813</v>
      </c>
      <c r="I49" s="473">
        <f t="shared" si="5"/>
        <v>0</v>
      </c>
      <c r="J49" s="473"/>
      <c r="K49" s="485"/>
      <c r="L49" s="476">
        <f t="shared" si="1"/>
        <v>0</v>
      </c>
      <c r="M49" s="485"/>
      <c r="N49" s="476">
        <f t="shared" si="3"/>
        <v>0</v>
      </c>
      <c r="O49" s="476">
        <f t="shared" si="4"/>
        <v>0</v>
      </c>
      <c r="P49" s="241"/>
    </row>
    <row r="50" spans="2:16">
      <c r="B50" s="160" t="str">
        <f t="shared" si="7"/>
        <v/>
      </c>
      <c r="C50" s="470">
        <f>IF(D11="","-",+C49+1)</f>
        <v>2051</v>
      </c>
      <c r="D50" s="481">
        <f>IF(F49+SUM(E$17:E49)=D$10,F49,D$10-SUM(E$17:E49))</f>
        <v>215701.49985821708</v>
      </c>
      <c r="E50" s="482">
        <f t="shared" si="13"/>
        <v>35404.805789473685</v>
      </c>
      <c r="F50" s="483">
        <f t="shared" si="14"/>
        <v>180296.69406874338</v>
      </c>
      <c r="G50" s="484">
        <f t="shared" si="15"/>
        <v>57925.26021868916</v>
      </c>
      <c r="H50" s="453">
        <f t="shared" si="16"/>
        <v>57925.26021868916</v>
      </c>
      <c r="I50" s="473">
        <f t="shared" si="5"/>
        <v>0</v>
      </c>
      <c r="J50" s="473"/>
      <c r="K50" s="485"/>
      <c r="L50" s="476">
        <f t="shared" si="1"/>
        <v>0</v>
      </c>
      <c r="M50" s="485"/>
      <c r="N50" s="476">
        <f t="shared" si="3"/>
        <v>0</v>
      </c>
      <c r="O50" s="476">
        <f t="shared" si="4"/>
        <v>0</v>
      </c>
      <c r="P50" s="241"/>
    </row>
    <row r="51" spans="2:16">
      <c r="B51" s="160" t="str">
        <f t="shared" si="7"/>
        <v/>
      </c>
      <c r="C51" s="470">
        <f>IF(D11="","-",+C50+1)</f>
        <v>2052</v>
      </c>
      <c r="D51" s="481">
        <f>IF(F50+SUM(E$17:E50)=D$10,F50,D$10-SUM(E$17:E50))</f>
        <v>180296.69406874338</v>
      </c>
      <c r="E51" s="482">
        <f t="shared" si="13"/>
        <v>35404.805789473685</v>
      </c>
      <c r="F51" s="483">
        <f t="shared" si="14"/>
        <v>144891.88827926968</v>
      </c>
      <c r="G51" s="484">
        <f t="shared" si="15"/>
        <v>53898.310966975507</v>
      </c>
      <c r="H51" s="453">
        <f t="shared" si="16"/>
        <v>53898.310966975507</v>
      </c>
      <c r="I51" s="473">
        <f t="shared" si="5"/>
        <v>0</v>
      </c>
      <c r="J51" s="473"/>
      <c r="K51" s="485"/>
      <c r="L51" s="476">
        <f t="shared" si="1"/>
        <v>0</v>
      </c>
      <c r="M51" s="485"/>
      <c r="N51" s="476">
        <f t="shared" si="3"/>
        <v>0</v>
      </c>
      <c r="O51" s="476">
        <f t="shared" si="4"/>
        <v>0</v>
      </c>
      <c r="P51" s="241"/>
    </row>
    <row r="52" spans="2:16">
      <c r="B52" s="160" t="str">
        <f t="shared" si="7"/>
        <v/>
      </c>
      <c r="C52" s="470">
        <f>IF(D11="","-",+C51+1)</f>
        <v>2053</v>
      </c>
      <c r="D52" s="481">
        <f>IF(F51+SUM(E$17:E51)=D$10,F51,D$10-SUM(E$17:E51))</f>
        <v>144891.88827926968</v>
      </c>
      <c r="E52" s="482">
        <f t="shared" si="13"/>
        <v>35404.805789473685</v>
      </c>
      <c r="F52" s="483">
        <f t="shared" si="14"/>
        <v>109487.082489796</v>
      </c>
      <c r="G52" s="484">
        <f t="shared" si="15"/>
        <v>49871.361715261846</v>
      </c>
      <c r="H52" s="453">
        <f t="shared" si="16"/>
        <v>49871.361715261846</v>
      </c>
      <c r="I52" s="473">
        <f t="shared" si="5"/>
        <v>0</v>
      </c>
      <c r="J52" s="473"/>
      <c r="K52" s="485"/>
      <c r="L52" s="476">
        <f t="shared" si="1"/>
        <v>0</v>
      </c>
      <c r="M52" s="485"/>
      <c r="N52" s="476">
        <f t="shared" si="3"/>
        <v>0</v>
      </c>
      <c r="O52" s="476">
        <f t="shared" si="4"/>
        <v>0</v>
      </c>
      <c r="P52" s="241"/>
    </row>
    <row r="53" spans="2:16">
      <c r="B53" s="160" t="str">
        <f t="shared" si="7"/>
        <v/>
      </c>
      <c r="C53" s="470">
        <f>IF(D11="","-",+C52+1)</f>
        <v>2054</v>
      </c>
      <c r="D53" s="481">
        <f>IF(F52+SUM(E$17:E52)=D$10,F52,D$10-SUM(E$17:E52))</f>
        <v>109487.082489796</v>
      </c>
      <c r="E53" s="482">
        <f t="shared" si="13"/>
        <v>35404.805789473685</v>
      </c>
      <c r="F53" s="483">
        <f t="shared" si="14"/>
        <v>74082.276700322313</v>
      </c>
      <c r="G53" s="484">
        <f t="shared" si="15"/>
        <v>45844.412463548186</v>
      </c>
      <c r="H53" s="453">
        <f t="shared" si="16"/>
        <v>45844.412463548186</v>
      </c>
      <c r="I53" s="473">
        <f t="shared" si="5"/>
        <v>0</v>
      </c>
      <c r="J53" s="473"/>
      <c r="K53" s="485"/>
      <c r="L53" s="476">
        <f t="shared" si="1"/>
        <v>0</v>
      </c>
      <c r="M53" s="485"/>
      <c r="N53" s="476">
        <f t="shared" si="3"/>
        <v>0</v>
      </c>
      <c r="O53" s="476">
        <f t="shared" si="4"/>
        <v>0</v>
      </c>
      <c r="P53" s="241"/>
    </row>
    <row r="54" spans="2:16">
      <c r="B54" s="160" t="str">
        <f t="shared" si="7"/>
        <v/>
      </c>
      <c r="C54" s="470">
        <f>IF(D11="","-",+C53+1)</f>
        <v>2055</v>
      </c>
      <c r="D54" s="481">
        <f>IF(F53+SUM(E$17:E53)=D$10,F53,D$10-SUM(E$17:E53))</f>
        <v>74082.276700322313</v>
      </c>
      <c r="E54" s="482">
        <f t="shared" si="13"/>
        <v>35404.805789473685</v>
      </c>
      <c r="F54" s="483">
        <f t="shared" si="14"/>
        <v>38677.470910848628</v>
      </c>
      <c r="G54" s="484">
        <f t="shared" si="15"/>
        <v>41817.463211834533</v>
      </c>
      <c r="H54" s="453">
        <f t="shared" si="16"/>
        <v>41817.463211834533</v>
      </c>
      <c r="I54" s="473">
        <f t="shared" si="5"/>
        <v>0</v>
      </c>
      <c r="J54" s="473"/>
      <c r="K54" s="485"/>
      <c r="L54" s="476">
        <f t="shared" si="1"/>
        <v>0</v>
      </c>
      <c r="M54" s="485"/>
      <c r="N54" s="476">
        <f t="shared" si="3"/>
        <v>0</v>
      </c>
      <c r="O54" s="476">
        <f t="shared" si="4"/>
        <v>0</v>
      </c>
      <c r="P54" s="241"/>
    </row>
    <row r="55" spans="2:16">
      <c r="B55" s="160" t="str">
        <f t="shared" si="7"/>
        <v/>
      </c>
      <c r="C55" s="470">
        <f>IF(D11="","-",+C54+1)</f>
        <v>2056</v>
      </c>
      <c r="D55" s="481">
        <f>IF(F54+SUM(E$17:E54)=D$10,F54,D$10-SUM(E$17:E54))</f>
        <v>38677.470910848628</v>
      </c>
      <c r="E55" s="482">
        <f t="shared" si="13"/>
        <v>35404.805789473685</v>
      </c>
      <c r="F55" s="483">
        <f t="shared" si="14"/>
        <v>3272.6651213749428</v>
      </c>
      <c r="G55" s="484">
        <f t="shared" si="15"/>
        <v>37790.513960120879</v>
      </c>
      <c r="H55" s="453">
        <f t="shared" si="16"/>
        <v>37790.513960120879</v>
      </c>
      <c r="I55" s="473">
        <f t="shared" si="5"/>
        <v>0</v>
      </c>
      <c r="J55" s="473"/>
      <c r="K55" s="485"/>
      <c r="L55" s="476">
        <f t="shared" si="1"/>
        <v>0</v>
      </c>
      <c r="M55" s="485"/>
      <c r="N55" s="476">
        <f t="shared" si="3"/>
        <v>0</v>
      </c>
      <c r="O55" s="476">
        <f t="shared" si="4"/>
        <v>0</v>
      </c>
      <c r="P55" s="241"/>
    </row>
    <row r="56" spans="2:16">
      <c r="B56" s="160" t="str">
        <f t="shared" si="7"/>
        <v/>
      </c>
      <c r="C56" s="470">
        <f>IF(D11="","-",+C55+1)</f>
        <v>2057</v>
      </c>
      <c r="D56" s="481">
        <f>IF(F55+SUM(E$17:E55)=D$10,F55,D$10-SUM(E$17:E55))</f>
        <v>3272.6651213749428</v>
      </c>
      <c r="E56" s="482">
        <f t="shared" si="13"/>
        <v>3272.6651213749428</v>
      </c>
      <c r="F56" s="483">
        <f t="shared" si="14"/>
        <v>0</v>
      </c>
      <c r="G56" s="484">
        <f t="shared" si="15"/>
        <v>3458.781893770125</v>
      </c>
      <c r="H56" s="453">
        <f t="shared" si="16"/>
        <v>3458.781893770125</v>
      </c>
      <c r="I56" s="473">
        <f t="shared" si="5"/>
        <v>0</v>
      </c>
      <c r="J56" s="473"/>
      <c r="K56" s="485"/>
      <c r="L56" s="476">
        <f t="shared" si="1"/>
        <v>0</v>
      </c>
      <c r="M56" s="485"/>
      <c r="N56" s="476">
        <f t="shared" si="3"/>
        <v>0</v>
      </c>
      <c r="O56" s="476">
        <f t="shared" si="4"/>
        <v>0</v>
      </c>
      <c r="P56" s="241"/>
    </row>
    <row r="57" spans="2:16">
      <c r="B57" s="160" t="str">
        <f t="shared" si="7"/>
        <v/>
      </c>
      <c r="C57" s="470">
        <f>IF(D11="","-",+C56+1)</f>
        <v>2058</v>
      </c>
      <c r="D57" s="481">
        <f>IF(F56+SUM(E$17:E56)=D$10,F56,D$10-SUM(E$17:E56))</f>
        <v>0</v>
      </c>
      <c r="E57" s="482">
        <f t="shared" si="13"/>
        <v>0</v>
      </c>
      <c r="F57" s="483">
        <f t="shared" si="14"/>
        <v>0</v>
      </c>
      <c r="G57" s="484">
        <f t="shared" si="15"/>
        <v>0</v>
      </c>
      <c r="H57" s="453">
        <f t="shared" si="16"/>
        <v>0</v>
      </c>
      <c r="I57" s="473">
        <f t="shared" si="5"/>
        <v>0</v>
      </c>
      <c r="J57" s="473"/>
      <c r="K57" s="485"/>
      <c r="L57" s="476">
        <f t="shared" si="1"/>
        <v>0</v>
      </c>
      <c r="M57" s="485"/>
      <c r="N57" s="476">
        <f t="shared" si="3"/>
        <v>0</v>
      </c>
      <c r="O57" s="476">
        <f t="shared" si="4"/>
        <v>0</v>
      </c>
      <c r="P57" s="241"/>
    </row>
    <row r="58" spans="2:16">
      <c r="B58" s="160" t="str">
        <f t="shared" si="7"/>
        <v/>
      </c>
      <c r="C58" s="470">
        <f>IF(D11="","-",+C57+1)</f>
        <v>2059</v>
      </c>
      <c r="D58" s="481">
        <f>IF(F57+SUM(E$17:E57)=D$10,F57,D$10-SUM(E$17:E57))</f>
        <v>0</v>
      </c>
      <c r="E58" s="482">
        <f t="shared" si="13"/>
        <v>0</v>
      </c>
      <c r="F58" s="483">
        <f t="shared" si="14"/>
        <v>0</v>
      </c>
      <c r="G58" s="484">
        <f t="shared" si="15"/>
        <v>0</v>
      </c>
      <c r="H58" s="453">
        <f t="shared" si="16"/>
        <v>0</v>
      </c>
      <c r="I58" s="473">
        <f t="shared" si="5"/>
        <v>0</v>
      </c>
      <c r="J58" s="473"/>
      <c r="K58" s="485"/>
      <c r="L58" s="476">
        <f t="shared" si="1"/>
        <v>0</v>
      </c>
      <c r="M58" s="485"/>
      <c r="N58" s="476">
        <f t="shared" si="3"/>
        <v>0</v>
      </c>
      <c r="O58" s="476">
        <f t="shared" si="4"/>
        <v>0</v>
      </c>
      <c r="P58" s="241"/>
    </row>
    <row r="59" spans="2:16">
      <c r="B59" s="160" t="str">
        <f t="shared" si="7"/>
        <v/>
      </c>
      <c r="C59" s="470">
        <f>IF(D11="","-",+C58+1)</f>
        <v>2060</v>
      </c>
      <c r="D59" s="481">
        <f>IF(F58+SUM(E$17:E58)=D$10,F58,D$10-SUM(E$17:E58))</f>
        <v>0</v>
      </c>
      <c r="E59" s="482">
        <f t="shared" si="13"/>
        <v>0</v>
      </c>
      <c r="F59" s="483">
        <f t="shared" si="14"/>
        <v>0</v>
      </c>
      <c r="G59" s="484">
        <f t="shared" si="15"/>
        <v>0</v>
      </c>
      <c r="H59" s="453">
        <f t="shared" si="16"/>
        <v>0</v>
      </c>
      <c r="I59" s="473">
        <f t="shared" si="5"/>
        <v>0</v>
      </c>
      <c r="J59" s="473"/>
      <c r="K59" s="485"/>
      <c r="L59" s="476">
        <f t="shared" si="1"/>
        <v>0</v>
      </c>
      <c r="M59" s="485"/>
      <c r="N59" s="476">
        <f t="shared" si="3"/>
        <v>0</v>
      </c>
      <c r="O59" s="476">
        <f t="shared" si="4"/>
        <v>0</v>
      </c>
      <c r="P59" s="241"/>
    </row>
    <row r="60" spans="2:16">
      <c r="B60" s="160" t="str">
        <f t="shared" si="7"/>
        <v/>
      </c>
      <c r="C60" s="470">
        <f>IF(D11="","-",+C59+1)</f>
        <v>2061</v>
      </c>
      <c r="D60" s="481">
        <f>IF(F59+SUM(E$17:E59)=D$10,F59,D$10-SUM(E$17:E59))</f>
        <v>0</v>
      </c>
      <c r="E60" s="482">
        <f t="shared" si="13"/>
        <v>0</v>
      </c>
      <c r="F60" s="483">
        <f t="shared" si="14"/>
        <v>0</v>
      </c>
      <c r="G60" s="484">
        <f t="shared" si="15"/>
        <v>0</v>
      </c>
      <c r="H60" s="453">
        <f t="shared" si="16"/>
        <v>0</v>
      </c>
      <c r="I60" s="473">
        <f t="shared" si="5"/>
        <v>0</v>
      </c>
      <c r="J60" s="473"/>
      <c r="K60" s="485"/>
      <c r="L60" s="476">
        <f t="shared" si="1"/>
        <v>0</v>
      </c>
      <c r="M60" s="485"/>
      <c r="N60" s="476">
        <f t="shared" si="3"/>
        <v>0</v>
      </c>
      <c r="O60" s="476">
        <f t="shared" si="4"/>
        <v>0</v>
      </c>
      <c r="P60" s="241"/>
    </row>
    <row r="61" spans="2:16">
      <c r="B61" s="160" t="str">
        <f t="shared" si="7"/>
        <v/>
      </c>
      <c r="C61" s="470">
        <f>IF(D11="","-",+C60+1)</f>
        <v>2062</v>
      </c>
      <c r="D61" s="481">
        <f>IF(F60+SUM(E$17:E60)=D$10,F60,D$10-SUM(E$17:E60))</f>
        <v>0</v>
      </c>
      <c r="E61" s="482">
        <f t="shared" si="13"/>
        <v>0</v>
      </c>
      <c r="F61" s="483">
        <f t="shared" si="14"/>
        <v>0</v>
      </c>
      <c r="G61" s="484">
        <f t="shared" si="15"/>
        <v>0</v>
      </c>
      <c r="H61" s="453">
        <f t="shared" si="16"/>
        <v>0</v>
      </c>
      <c r="I61" s="473">
        <f t="shared" si="5"/>
        <v>0</v>
      </c>
      <c r="J61" s="473"/>
      <c r="K61" s="485"/>
      <c r="L61" s="476">
        <f t="shared" si="1"/>
        <v>0</v>
      </c>
      <c r="M61" s="485"/>
      <c r="N61" s="476">
        <f t="shared" si="3"/>
        <v>0</v>
      </c>
      <c r="O61" s="476">
        <f t="shared" si="4"/>
        <v>0</v>
      </c>
      <c r="P61" s="241"/>
    </row>
    <row r="62" spans="2:16">
      <c r="B62" s="160" t="str">
        <f t="shared" si="7"/>
        <v/>
      </c>
      <c r="C62" s="470">
        <f>IF(D11="","-",+C61+1)</f>
        <v>2063</v>
      </c>
      <c r="D62" s="481">
        <f>IF(F61+SUM(E$17:E61)=D$10,F61,D$10-SUM(E$17:E61))</f>
        <v>0</v>
      </c>
      <c r="E62" s="482">
        <f t="shared" si="13"/>
        <v>0</v>
      </c>
      <c r="F62" s="483">
        <f t="shared" si="14"/>
        <v>0</v>
      </c>
      <c r="G62" s="484">
        <f t="shared" si="15"/>
        <v>0</v>
      </c>
      <c r="H62" s="453">
        <f t="shared" si="16"/>
        <v>0</v>
      </c>
      <c r="I62" s="473">
        <f t="shared" si="5"/>
        <v>0</v>
      </c>
      <c r="J62" s="473"/>
      <c r="K62" s="485"/>
      <c r="L62" s="476">
        <f t="shared" si="1"/>
        <v>0</v>
      </c>
      <c r="M62" s="485"/>
      <c r="N62" s="476">
        <f t="shared" si="3"/>
        <v>0</v>
      </c>
      <c r="O62" s="476">
        <f t="shared" si="4"/>
        <v>0</v>
      </c>
      <c r="P62" s="241"/>
    </row>
    <row r="63" spans="2:16">
      <c r="B63" s="160" t="str">
        <f t="shared" si="7"/>
        <v/>
      </c>
      <c r="C63" s="470">
        <f>IF(D11="","-",+C62+1)</f>
        <v>2064</v>
      </c>
      <c r="D63" s="481">
        <f>IF(F62+SUM(E$17:E62)=D$10,F62,D$10-SUM(E$17:E62))</f>
        <v>0</v>
      </c>
      <c r="E63" s="482">
        <f t="shared" si="13"/>
        <v>0</v>
      </c>
      <c r="F63" s="483">
        <f t="shared" si="14"/>
        <v>0</v>
      </c>
      <c r="G63" s="484">
        <f t="shared" si="15"/>
        <v>0</v>
      </c>
      <c r="H63" s="453">
        <f t="shared" si="16"/>
        <v>0</v>
      </c>
      <c r="I63" s="473">
        <f t="shared" si="5"/>
        <v>0</v>
      </c>
      <c r="J63" s="473"/>
      <c r="K63" s="485"/>
      <c r="L63" s="476">
        <f t="shared" si="1"/>
        <v>0</v>
      </c>
      <c r="M63" s="485"/>
      <c r="N63" s="476">
        <f t="shared" si="3"/>
        <v>0</v>
      </c>
      <c r="O63" s="476">
        <f t="shared" si="4"/>
        <v>0</v>
      </c>
      <c r="P63" s="241"/>
    </row>
    <row r="64" spans="2:16">
      <c r="B64" s="160" t="str">
        <f t="shared" si="7"/>
        <v/>
      </c>
      <c r="C64" s="470">
        <f>IF(D11="","-",+C63+1)</f>
        <v>2065</v>
      </c>
      <c r="D64" s="481">
        <f>IF(F63+SUM(E$17:E63)=D$10,F63,D$10-SUM(E$17:E63))</f>
        <v>0</v>
      </c>
      <c r="E64" s="482">
        <f t="shared" si="13"/>
        <v>0</v>
      </c>
      <c r="F64" s="483">
        <f t="shared" si="14"/>
        <v>0</v>
      </c>
      <c r="G64" s="484">
        <f t="shared" si="15"/>
        <v>0</v>
      </c>
      <c r="H64" s="453">
        <f t="shared" si="16"/>
        <v>0</v>
      </c>
      <c r="I64" s="473">
        <f t="shared" si="5"/>
        <v>0</v>
      </c>
      <c r="J64" s="473"/>
      <c r="K64" s="485"/>
      <c r="L64" s="476">
        <f t="shared" si="1"/>
        <v>0</v>
      </c>
      <c r="M64" s="485"/>
      <c r="N64" s="476">
        <f t="shared" si="3"/>
        <v>0</v>
      </c>
      <c r="O64" s="476">
        <f t="shared" si="4"/>
        <v>0</v>
      </c>
      <c r="P64" s="241"/>
    </row>
    <row r="65" spans="2:16">
      <c r="B65" s="160" t="str">
        <f t="shared" si="7"/>
        <v/>
      </c>
      <c r="C65" s="470">
        <f>IF(D11="","-",+C64+1)</f>
        <v>2066</v>
      </c>
      <c r="D65" s="481">
        <f>IF(F64+SUM(E$17:E64)=D$10,F64,D$10-SUM(E$17:E64))</f>
        <v>0</v>
      </c>
      <c r="E65" s="482">
        <f t="shared" si="13"/>
        <v>0</v>
      </c>
      <c r="F65" s="483">
        <f t="shared" si="14"/>
        <v>0</v>
      </c>
      <c r="G65" s="484">
        <f t="shared" si="15"/>
        <v>0</v>
      </c>
      <c r="H65" s="453">
        <f t="shared" si="16"/>
        <v>0</v>
      </c>
      <c r="I65" s="473">
        <f t="shared" si="5"/>
        <v>0</v>
      </c>
      <c r="J65" s="473"/>
      <c r="K65" s="485"/>
      <c r="L65" s="476">
        <f t="shared" si="1"/>
        <v>0</v>
      </c>
      <c r="M65" s="485"/>
      <c r="N65" s="476">
        <f t="shared" si="3"/>
        <v>0</v>
      </c>
      <c r="O65" s="476">
        <f t="shared" si="4"/>
        <v>0</v>
      </c>
      <c r="P65" s="241"/>
    </row>
    <row r="66" spans="2:16">
      <c r="B66" s="160" t="str">
        <f t="shared" si="7"/>
        <v/>
      </c>
      <c r="C66" s="470">
        <f>IF(D11="","-",+C65+1)</f>
        <v>2067</v>
      </c>
      <c r="D66" s="481">
        <f>IF(F65+SUM(E$17:E65)=D$10,F65,D$10-SUM(E$17:E65))</f>
        <v>0</v>
      </c>
      <c r="E66" s="482">
        <f t="shared" si="13"/>
        <v>0</v>
      </c>
      <c r="F66" s="483">
        <f t="shared" si="14"/>
        <v>0</v>
      </c>
      <c r="G66" s="484">
        <f t="shared" si="15"/>
        <v>0</v>
      </c>
      <c r="H66" s="453">
        <f t="shared" si="16"/>
        <v>0</v>
      </c>
      <c r="I66" s="473">
        <f t="shared" si="5"/>
        <v>0</v>
      </c>
      <c r="J66" s="473"/>
      <c r="K66" s="485"/>
      <c r="L66" s="476">
        <f t="shared" si="1"/>
        <v>0</v>
      </c>
      <c r="M66" s="485"/>
      <c r="N66" s="476">
        <f t="shared" si="3"/>
        <v>0</v>
      </c>
      <c r="O66" s="476">
        <f t="shared" si="4"/>
        <v>0</v>
      </c>
      <c r="P66" s="241"/>
    </row>
    <row r="67" spans="2:16">
      <c r="B67" s="160" t="str">
        <f t="shared" si="7"/>
        <v/>
      </c>
      <c r="C67" s="470">
        <f>IF(D11="","-",+C66+1)</f>
        <v>2068</v>
      </c>
      <c r="D67" s="481">
        <f>IF(F66+SUM(E$17:E66)=D$10,F66,D$10-SUM(E$17:E66))</f>
        <v>0</v>
      </c>
      <c r="E67" s="482">
        <f t="shared" si="13"/>
        <v>0</v>
      </c>
      <c r="F67" s="483">
        <f t="shared" si="14"/>
        <v>0</v>
      </c>
      <c r="G67" s="484">
        <f t="shared" si="15"/>
        <v>0</v>
      </c>
      <c r="H67" s="453">
        <f t="shared" si="16"/>
        <v>0</v>
      </c>
      <c r="I67" s="473">
        <f t="shared" si="5"/>
        <v>0</v>
      </c>
      <c r="J67" s="473"/>
      <c r="K67" s="485"/>
      <c r="L67" s="476">
        <f t="shared" si="1"/>
        <v>0</v>
      </c>
      <c r="M67" s="485"/>
      <c r="N67" s="476">
        <f t="shared" si="3"/>
        <v>0</v>
      </c>
      <c r="O67" s="476">
        <f t="shared" si="4"/>
        <v>0</v>
      </c>
      <c r="P67" s="241"/>
    </row>
    <row r="68" spans="2:16">
      <c r="B68" s="160" t="str">
        <f t="shared" si="7"/>
        <v/>
      </c>
      <c r="C68" s="470">
        <f>IF(D11="","-",+C67+1)</f>
        <v>2069</v>
      </c>
      <c r="D68" s="481">
        <f>IF(F67+SUM(E$17:E67)=D$10,F67,D$10-SUM(E$17:E67))</f>
        <v>0</v>
      </c>
      <c r="E68" s="482">
        <f t="shared" si="13"/>
        <v>0</v>
      </c>
      <c r="F68" s="483">
        <f t="shared" si="14"/>
        <v>0</v>
      </c>
      <c r="G68" s="484">
        <f t="shared" si="15"/>
        <v>0</v>
      </c>
      <c r="H68" s="453">
        <f t="shared" si="16"/>
        <v>0</v>
      </c>
      <c r="I68" s="473">
        <f t="shared" si="5"/>
        <v>0</v>
      </c>
      <c r="J68" s="473"/>
      <c r="K68" s="485"/>
      <c r="L68" s="476">
        <f t="shared" si="1"/>
        <v>0</v>
      </c>
      <c r="M68" s="485"/>
      <c r="N68" s="476">
        <f t="shared" si="3"/>
        <v>0</v>
      </c>
      <c r="O68" s="476">
        <f t="shared" si="4"/>
        <v>0</v>
      </c>
      <c r="P68" s="241"/>
    </row>
    <row r="69" spans="2:16">
      <c r="B69" s="160" t="str">
        <f t="shared" si="7"/>
        <v/>
      </c>
      <c r="C69" s="470">
        <f>IF(D11="","-",+C68+1)</f>
        <v>2070</v>
      </c>
      <c r="D69" s="481">
        <f>IF(F68+SUM(E$17:E68)=D$10,F68,D$10-SUM(E$17:E68))</f>
        <v>0</v>
      </c>
      <c r="E69" s="482">
        <f t="shared" si="13"/>
        <v>0</v>
      </c>
      <c r="F69" s="483">
        <f t="shared" si="14"/>
        <v>0</v>
      </c>
      <c r="G69" s="484">
        <f t="shared" si="15"/>
        <v>0</v>
      </c>
      <c r="H69" s="453">
        <f t="shared" si="16"/>
        <v>0</v>
      </c>
      <c r="I69" s="473">
        <f t="shared" si="5"/>
        <v>0</v>
      </c>
      <c r="J69" s="473"/>
      <c r="K69" s="485"/>
      <c r="L69" s="476">
        <f t="shared" si="1"/>
        <v>0</v>
      </c>
      <c r="M69" s="485"/>
      <c r="N69" s="476">
        <f t="shared" si="3"/>
        <v>0</v>
      </c>
      <c r="O69" s="476">
        <f t="shared" si="4"/>
        <v>0</v>
      </c>
      <c r="P69" s="241"/>
    </row>
    <row r="70" spans="2:16">
      <c r="B70" s="160" t="str">
        <f t="shared" si="7"/>
        <v/>
      </c>
      <c r="C70" s="470">
        <f>IF(D11="","-",+C69+1)</f>
        <v>2071</v>
      </c>
      <c r="D70" s="481">
        <f>IF(F69+SUM(E$17:E69)=D$10,F69,D$10-SUM(E$17:E69))</f>
        <v>0</v>
      </c>
      <c r="E70" s="482">
        <f t="shared" si="13"/>
        <v>0</v>
      </c>
      <c r="F70" s="483">
        <f t="shared" si="14"/>
        <v>0</v>
      </c>
      <c r="G70" s="484">
        <f t="shared" si="15"/>
        <v>0</v>
      </c>
      <c r="H70" s="453">
        <f t="shared" si="16"/>
        <v>0</v>
      </c>
      <c r="I70" s="473">
        <f t="shared" si="5"/>
        <v>0</v>
      </c>
      <c r="J70" s="473"/>
      <c r="K70" s="485"/>
      <c r="L70" s="476">
        <f t="shared" si="1"/>
        <v>0</v>
      </c>
      <c r="M70" s="485"/>
      <c r="N70" s="476">
        <f t="shared" si="3"/>
        <v>0</v>
      </c>
      <c r="O70" s="476">
        <f t="shared" si="4"/>
        <v>0</v>
      </c>
      <c r="P70" s="241"/>
    </row>
    <row r="71" spans="2:16">
      <c r="B71" s="160" t="str">
        <f t="shared" si="7"/>
        <v/>
      </c>
      <c r="C71" s="470">
        <f>IF(D11="","-",+C70+1)</f>
        <v>2072</v>
      </c>
      <c r="D71" s="481">
        <f>IF(F70+SUM(E$17:E70)=D$10,F70,D$10-SUM(E$17:E70))</f>
        <v>0</v>
      </c>
      <c r="E71" s="482">
        <f t="shared" si="13"/>
        <v>0</v>
      </c>
      <c r="F71" s="483">
        <f t="shared" si="14"/>
        <v>0</v>
      </c>
      <c r="G71" s="484">
        <f t="shared" si="15"/>
        <v>0</v>
      </c>
      <c r="H71" s="453">
        <f t="shared" si="16"/>
        <v>0</v>
      </c>
      <c r="I71" s="473">
        <f t="shared" si="5"/>
        <v>0</v>
      </c>
      <c r="J71" s="473"/>
      <c r="K71" s="485"/>
      <c r="L71" s="476">
        <f t="shared" si="1"/>
        <v>0</v>
      </c>
      <c r="M71" s="485"/>
      <c r="N71" s="476">
        <f t="shared" si="3"/>
        <v>0</v>
      </c>
      <c r="O71" s="476">
        <f t="shared" si="4"/>
        <v>0</v>
      </c>
      <c r="P71" s="241"/>
    </row>
    <row r="72" spans="2:16" ht="13.5" thickBot="1">
      <c r="B72" s="160" t="str">
        <f t="shared" si="7"/>
        <v/>
      </c>
      <c r="C72" s="487">
        <f>IF(D11="","-",+C71+1)</f>
        <v>2073</v>
      </c>
      <c r="D72" s="610">
        <f>IF(F71+SUM(E$17:E71)=D$10,F71,D$10-SUM(E$17:E71))</f>
        <v>0</v>
      </c>
      <c r="E72" s="489">
        <f>IF(+I$14&lt;F71,I$14,D72)</f>
        <v>0</v>
      </c>
      <c r="F72" s="488">
        <f>+D72-E72</f>
        <v>0</v>
      </c>
      <c r="G72" s="542">
        <f>(D72+F72)/2*I$12+E72</f>
        <v>0</v>
      </c>
      <c r="H72" s="433">
        <f>+(D72+F72)/2*I$13+E72</f>
        <v>0</v>
      </c>
      <c r="I72" s="491">
        <f>H72-G72</f>
        <v>0</v>
      </c>
      <c r="J72" s="473"/>
      <c r="K72" s="492"/>
      <c r="L72" s="493">
        <f t="shared" si="1"/>
        <v>0</v>
      </c>
      <c r="M72" s="492"/>
      <c r="N72" s="493">
        <f t="shared" si="3"/>
        <v>0</v>
      </c>
      <c r="O72" s="493">
        <f t="shared" si="4"/>
        <v>0</v>
      </c>
      <c r="P72" s="241"/>
    </row>
    <row r="73" spans="2:16">
      <c r="C73" s="345" t="s">
        <v>77</v>
      </c>
      <c r="D73" s="346"/>
      <c r="E73" s="346">
        <f>SUM(E17:E72)</f>
        <v>1345382.62</v>
      </c>
      <c r="F73" s="346"/>
      <c r="G73" s="346">
        <f>SUM(G17:G72)</f>
        <v>4303103.9552563317</v>
      </c>
      <c r="H73" s="346">
        <f>SUM(H17:H72)</f>
        <v>4303103.9552563317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24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163793.91335875148</v>
      </c>
      <c r="N87" s="506">
        <f>IF(J92&lt;D11,0,VLOOKUP(J92,C17:O72,11))</f>
        <v>163793.91335875148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168471.22783710953</v>
      </c>
      <c r="N88" s="510">
        <f>IF(J92&lt;D11,0,VLOOKUP(J92,C99:P154,7))</f>
        <v>168471.22783710953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Duncan-Comanche Tap 69 KV Rebuild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4677.3144783580501</v>
      </c>
      <c r="N89" s="515">
        <f>+N88-N87</f>
        <v>4677.3144783580501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TP2015191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524">
        <v>1345383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v>2018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v>5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32814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2018</v>
      </c>
      <c r="D99" s="582">
        <v>0</v>
      </c>
      <c r="E99" s="606">
        <v>15290</v>
      </c>
      <c r="F99" s="582">
        <v>1299649</v>
      </c>
      <c r="G99" s="606">
        <v>649824.5</v>
      </c>
      <c r="H99" s="585">
        <v>82050.088345518569</v>
      </c>
      <c r="I99" s="605">
        <v>82050.088345518569</v>
      </c>
      <c r="J99" s="476">
        <f>+I99-H99</f>
        <v>0</v>
      </c>
      <c r="K99" s="476"/>
      <c r="L99" s="475">
        <f>+H99</f>
        <v>82050.088345518569</v>
      </c>
      <c r="M99" s="475">
        <f t="shared" ref="M99" si="17">IF(L99&lt;&gt;0,+H99-L99,0)</f>
        <v>0</v>
      </c>
      <c r="N99" s="475">
        <f>+I99</f>
        <v>82050.088345518569</v>
      </c>
      <c r="O99" s="475">
        <f t="shared" ref="O99" si="18">IF(N99&lt;&gt;0,+I99-N99,0)</f>
        <v>0</v>
      </c>
      <c r="P99" s="475">
        <f t="shared" ref="P99" si="19">+O99-M99</f>
        <v>0</v>
      </c>
    </row>
    <row r="100" spans="1:16">
      <c r="B100" s="160" t="str">
        <f>IF(D100=F99,"","IU")</f>
        <v>IU</v>
      </c>
      <c r="C100" s="470">
        <f>IF(D93="","-",+C99+1)</f>
        <v>2019</v>
      </c>
      <c r="D100" s="576">
        <v>1330093</v>
      </c>
      <c r="E100" s="577">
        <v>32814</v>
      </c>
      <c r="F100" s="576">
        <v>1297279</v>
      </c>
      <c r="G100" s="577">
        <v>1313686</v>
      </c>
      <c r="H100" s="600">
        <v>168273.45246575892</v>
      </c>
      <c r="I100" s="576">
        <v>168273.45246575892</v>
      </c>
      <c r="J100" s="476">
        <f t="shared" ref="J100:J130" si="20">+I100-H100</f>
        <v>0</v>
      </c>
      <c r="K100" s="476"/>
      <c r="L100" s="474">
        <f>H100</f>
        <v>168273.45246575892</v>
      </c>
      <c r="M100" s="347">
        <f>IF(L100&lt;&gt;0,+H100-L100,0)</f>
        <v>0</v>
      </c>
      <c r="N100" s="474">
        <f>I100</f>
        <v>168273.45246575892</v>
      </c>
      <c r="O100" s="476">
        <f t="shared" ref="O100:O130" si="21">IF(N100&lt;&gt;0,+I100-N100,0)</f>
        <v>0</v>
      </c>
      <c r="P100" s="476">
        <f t="shared" ref="P100:P130" si="22">+O100-M100</f>
        <v>0</v>
      </c>
    </row>
    <row r="101" spans="1:16">
      <c r="B101" s="160" t="str">
        <f t="shared" ref="B101:B154" si="23">IF(D101=F100,"","IU")</f>
        <v/>
      </c>
      <c r="C101" s="470">
        <f>IF(D93="","-",+C100+1)</f>
        <v>2020</v>
      </c>
      <c r="D101" s="576">
        <v>1297279</v>
      </c>
      <c r="E101" s="577">
        <v>31288</v>
      </c>
      <c r="F101" s="576">
        <v>1265991</v>
      </c>
      <c r="G101" s="577">
        <v>1281635</v>
      </c>
      <c r="H101" s="600">
        <v>179056.99193510308</v>
      </c>
      <c r="I101" s="576">
        <v>179056.99193510308</v>
      </c>
      <c r="J101" s="476">
        <f t="shared" si="20"/>
        <v>0</v>
      </c>
      <c r="K101" s="476"/>
      <c r="L101" s="474">
        <f>H101</f>
        <v>179056.99193510308</v>
      </c>
      <c r="M101" s="347">
        <f>IF(L101&lt;&gt;0,+H101-L101,0)</f>
        <v>0</v>
      </c>
      <c r="N101" s="474">
        <f>I101</f>
        <v>179056.99193510308</v>
      </c>
      <c r="O101" s="476">
        <f t="shared" si="21"/>
        <v>0</v>
      </c>
      <c r="P101" s="476">
        <f t="shared" si="22"/>
        <v>0</v>
      </c>
    </row>
    <row r="102" spans="1:16">
      <c r="B102" s="160" t="str">
        <f t="shared" si="23"/>
        <v/>
      </c>
      <c r="C102" s="470">
        <f>IF(D93="","-",+C101+1)</f>
        <v>2021</v>
      </c>
      <c r="D102" s="576">
        <v>1265991</v>
      </c>
      <c r="E102" s="577">
        <v>32814</v>
      </c>
      <c r="F102" s="576">
        <v>1233177</v>
      </c>
      <c r="G102" s="577">
        <v>1249584</v>
      </c>
      <c r="H102" s="600">
        <v>175007.65348742867</v>
      </c>
      <c r="I102" s="576">
        <v>175007.65348742867</v>
      </c>
      <c r="J102" s="476">
        <f t="shared" si="20"/>
        <v>0</v>
      </c>
      <c r="K102" s="476"/>
      <c r="L102" s="474">
        <f>H102</f>
        <v>175007.65348742867</v>
      </c>
      <c r="M102" s="347">
        <f>IF(L102&lt;&gt;0,+H102-L102,0)</f>
        <v>0</v>
      </c>
      <c r="N102" s="474">
        <f>I102</f>
        <v>175007.65348742867</v>
      </c>
      <c r="O102" s="476">
        <f t="shared" ref="O102" si="24">IF(N102&lt;&gt;0,+I102-N102,0)</f>
        <v>0</v>
      </c>
      <c r="P102" s="476">
        <f t="shared" ref="P102" si="25">+O102-M102</f>
        <v>0</v>
      </c>
    </row>
    <row r="103" spans="1:16">
      <c r="B103" s="160" t="str">
        <f t="shared" si="23"/>
        <v/>
      </c>
      <c r="C103" s="631">
        <f>IF(D93="","-",+C102+1)</f>
        <v>2022</v>
      </c>
      <c r="D103" s="345">
        <v>1233177</v>
      </c>
      <c r="E103" s="482">
        <v>34497</v>
      </c>
      <c r="F103" s="483">
        <v>1198680</v>
      </c>
      <c r="G103" s="483">
        <v>1215928.5</v>
      </c>
      <c r="H103" s="611">
        <v>168471.22783710953</v>
      </c>
      <c r="I103" s="612">
        <v>168471.22783710953</v>
      </c>
      <c r="J103" s="476">
        <f t="shared" si="20"/>
        <v>0</v>
      </c>
      <c r="K103" s="476"/>
      <c r="L103" s="485"/>
      <c r="M103" s="476">
        <f t="shared" ref="M103:M130" si="26">IF(L103&lt;&gt;0,+H103-L103,0)</f>
        <v>0</v>
      </c>
      <c r="N103" s="485"/>
      <c r="O103" s="476">
        <f t="shared" si="21"/>
        <v>0</v>
      </c>
      <c r="P103" s="476">
        <f t="shared" si="22"/>
        <v>0</v>
      </c>
    </row>
    <row r="104" spans="1:16">
      <c r="B104" s="160" t="str">
        <f t="shared" si="23"/>
        <v/>
      </c>
      <c r="C104" s="470">
        <f>IF(D93="","-",+C103+1)</f>
        <v>2023</v>
      </c>
      <c r="D104" s="345">
        <f>IF(F103+SUM(E$99:E103)=D$92,F103,D$92-SUM(E$99:E103))</f>
        <v>1198680</v>
      </c>
      <c r="E104" s="482">
        <f t="shared" ref="E104:E154" si="27">IF(+J$96&lt;F103,J$96,D104)</f>
        <v>32814</v>
      </c>
      <c r="F104" s="483">
        <f t="shared" ref="F104:F154" si="28">+D104-E104</f>
        <v>1165866</v>
      </c>
      <c r="G104" s="483">
        <f t="shared" ref="G104:G154" si="29">+(F104+D104)/2</f>
        <v>1182273</v>
      </c>
      <c r="H104" s="611">
        <f t="shared" ref="H104:H154" si="30">+J$94*G104+E104</f>
        <v>167348.14679568782</v>
      </c>
      <c r="I104" s="612">
        <f t="shared" ref="I104:I154" si="31">+J$95*G104+E104</f>
        <v>167348.14679568782</v>
      </c>
      <c r="J104" s="476">
        <f t="shared" si="20"/>
        <v>0</v>
      </c>
      <c r="K104" s="476"/>
      <c r="L104" s="485"/>
      <c r="M104" s="476">
        <f t="shared" si="26"/>
        <v>0</v>
      </c>
      <c r="N104" s="485"/>
      <c r="O104" s="476">
        <f t="shared" si="21"/>
        <v>0</v>
      </c>
      <c r="P104" s="476">
        <f t="shared" si="22"/>
        <v>0</v>
      </c>
    </row>
    <row r="105" spans="1:16">
      <c r="B105" s="160" t="str">
        <f t="shared" si="23"/>
        <v/>
      </c>
      <c r="C105" s="470">
        <f>IF(D93="","-",+C104+1)</f>
        <v>2024</v>
      </c>
      <c r="D105" s="345">
        <f>IF(F104+SUM(E$99:E104)=D$92,F104,D$92-SUM(E$99:E104))</f>
        <v>1165866</v>
      </c>
      <c r="E105" s="482">
        <f t="shared" si="27"/>
        <v>32814</v>
      </c>
      <c r="F105" s="483">
        <f t="shared" si="28"/>
        <v>1133052</v>
      </c>
      <c r="G105" s="483">
        <f t="shared" si="29"/>
        <v>1149459</v>
      </c>
      <c r="H105" s="611">
        <f t="shared" si="30"/>
        <v>163614.15008515335</v>
      </c>
      <c r="I105" s="612">
        <f t="shared" si="31"/>
        <v>163614.15008515335</v>
      </c>
      <c r="J105" s="476">
        <f t="shared" si="20"/>
        <v>0</v>
      </c>
      <c r="K105" s="476"/>
      <c r="L105" s="485"/>
      <c r="M105" s="476">
        <f t="shared" si="26"/>
        <v>0</v>
      </c>
      <c r="N105" s="485"/>
      <c r="O105" s="476">
        <f t="shared" si="21"/>
        <v>0</v>
      </c>
      <c r="P105" s="476">
        <f t="shared" si="22"/>
        <v>0</v>
      </c>
    </row>
    <row r="106" spans="1:16">
      <c r="B106" s="160" t="str">
        <f t="shared" si="23"/>
        <v/>
      </c>
      <c r="C106" s="470">
        <f>IF(D93="","-",+C105+1)</f>
        <v>2025</v>
      </c>
      <c r="D106" s="345">
        <f>IF(F105+SUM(E$99:E105)=D$92,F105,D$92-SUM(E$99:E105))</f>
        <v>1133052</v>
      </c>
      <c r="E106" s="482">
        <f t="shared" si="27"/>
        <v>32814</v>
      </c>
      <c r="F106" s="483">
        <f t="shared" si="28"/>
        <v>1100238</v>
      </c>
      <c r="G106" s="483">
        <f t="shared" si="29"/>
        <v>1116645</v>
      </c>
      <c r="H106" s="611">
        <f t="shared" si="30"/>
        <v>159880.15337461891</v>
      </c>
      <c r="I106" s="612">
        <f t="shared" si="31"/>
        <v>159880.15337461891</v>
      </c>
      <c r="J106" s="476">
        <f t="shared" si="20"/>
        <v>0</v>
      </c>
      <c r="K106" s="476"/>
      <c r="L106" s="485"/>
      <c r="M106" s="476">
        <f t="shared" si="26"/>
        <v>0</v>
      </c>
      <c r="N106" s="485"/>
      <c r="O106" s="476">
        <f t="shared" si="21"/>
        <v>0</v>
      </c>
      <c r="P106" s="476">
        <f t="shared" si="22"/>
        <v>0</v>
      </c>
    </row>
    <row r="107" spans="1:16">
      <c r="B107" s="160" t="str">
        <f t="shared" si="23"/>
        <v/>
      </c>
      <c r="C107" s="470">
        <f>IF(D93="","-",+C106+1)</f>
        <v>2026</v>
      </c>
      <c r="D107" s="345">
        <f>IF(F106+SUM(E$99:E106)=D$92,F106,D$92-SUM(E$99:E106))</f>
        <v>1100238</v>
      </c>
      <c r="E107" s="482">
        <f t="shared" si="27"/>
        <v>32814</v>
      </c>
      <c r="F107" s="483">
        <f t="shared" si="28"/>
        <v>1067424</v>
      </c>
      <c r="G107" s="483">
        <f t="shared" si="29"/>
        <v>1083831</v>
      </c>
      <c r="H107" s="611">
        <f t="shared" si="30"/>
        <v>156146.15666408447</v>
      </c>
      <c r="I107" s="612">
        <f t="shared" si="31"/>
        <v>156146.15666408447</v>
      </c>
      <c r="J107" s="476">
        <f t="shared" si="20"/>
        <v>0</v>
      </c>
      <c r="K107" s="476"/>
      <c r="L107" s="485"/>
      <c r="M107" s="476">
        <f t="shared" si="26"/>
        <v>0</v>
      </c>
      <c r="N107" s="485"/>
      <c r="O107" s="476">
        <f t="shared" si="21"/>
        <v>0</v>
      </c>
      <c r="P107" s="476">
        <f t="shared" si="22"/>
        <v>0</v>
      </c>
    </row>
    <row r="108" spans="1:16">
      <c r="B108" s="160" t="str">
        <f t="shared" si="23"/>
        <v/>
      </c>
      <c r="C108" s="470">
        <f>IF(D93="","-",+C107+1)</f>
        <v>2027</v>
      </c>
      <c r="D108" s="345">
        <f>IF(F107+SUM(E$99:E107)=D$92,F107,D$92-SUM(E$99:E107))</f>
        <v>1067424</v>
      </c>
      <c r="E108" s="482">
        <f t="shared" si="27"/>
        <v>32814</v>
      </c>
      <c r="F108" s="483">
        <f t="shared" si="28"/>
        <v>1034610</v>
      </c>
      <c r="G108" s="483">
        <f t="shared" si="29"/>
        <v>1051017</v>
      </c>
      <c r="H108" s="611">
        <f t="shared" si="30"/>
        <v>152412.15995355</v>
      </c>
      <c r="I108" s="612">
        <f t="shared" si="31"/>
        <v>152412.15995355</v>
      </c>
      <c r="J108" s="476">
        <f t="shared" si="20"/>
        <v>0</v>
      </c>
      <c r="K108" s="476"/>
      <c r="L108" s="485"/>
      <c r="M108" s="476">
        <f t="shared" si="26"/>
        <v>0</v>
      </c>
      <c r="N108" s="485"/>
      <c r="O108" s="476">
        <f t="shared" si="21"/>
        <v>0</v>
      </c>
      <c r="P108" s="476">
        <f t="shared" si="22"/>
        <v>0</v>
      </c>
    </row>
    <row r="109" spans="1:16">
      <c r="B109" s="160" t="str">
        <f t="shared" si="23"/>
        <v/>
      </c>
      <c r="C109" s="470">
        <f>IF(D93="","-",+C108+1)</f>
        <v>2028</v>
      </c>
      <c r="D109" s="345">
        <f>IF(F108+SUM(E$99:E108)=D$92,F108,D$92-SUM(E$99:E108))</f>
        <v>1034610</v>
      </c>
      <c r="E109" s="482">
        <f t="shared" si="27"/>
        <v>32814</v>
      </c>
      <c r="F109" s="483">
        <f t="shared" si="28"/>
        <v>1001796</v>
      </c>
      <c r="G109" s="483">
        <f t="shared" si="29"/>
        <v>1018203</v>
      </c>
      <c r="H109" s="611">
        <f t="shared" si="30"/>
        <v>148678.16324301553</v>
      </c>
      <c r="I109" s="612">
        <f t="shared" si="31"/>
        <v>148678.16324301553</v>
      </c>
      <c r="J109" s="476">
        <f t="shared" si="20"/>
        <v>0</v>
      </c>
      <c r="K109" s="476"/>
      <c r="L109" s="485"/>
      <c r="M109" s="476">
        <f t="shared" si="26"/>
        <v>0</v>
      </c>
      <c r="N109" s="485"/>
      <c r="O109" s="476">
        <f t="shared" si="21"/>
        <v>0</v>
      </c>
      <c r="P109" s="476">
        <f t="shared" si="22"/>
        <v>0</v>
      </c>
    </row>
    <row r="110" spans="1:16">
      <c r="B110" s="160" t="str">
        <f t="shared" si="23"/>
        <v/>
      </c>
      <c r="C110" s="470">
        <f>IF(D93="","-",+C109+1)</f>
        <v>2029</v>
      </c>
      <c r="D110" s="345">
        <f>IF(F109+SUM(E$99:E109)=D$92,F109,D$92-SUM(E$99:E109))</f>
        <v>1001796</v>
      </c>
      <c r="E110" s="482">
        <f t="shared" si="27"/>
        <v>32814</v>
      </c>
      <c r="F110" s="483">
        <f t="shared" si="28"/>
        <v>968982</v>
      </c>
      <c r="G110" s="483">
        <f t="shared" si="29"/>
        <v>985389</v>
      </c>
      <c r="H110" s="611">
        <f t="shared" si="30"/>
        <v>144944.16653248109</v>
      </c>
      <c r="I110" s="612">
        <f t="shared" si="31"/>
        <v>144944.16653248109</v>
      </c>
      <c r="J110" s="476">
        <f t="shared" si="20"/>
        <v>0</v>
      </c>
      <c r="K110" s="476"/>
      <c r="L110" s="485"/>
      <c r="M110" s="476">
        <f t="shared" si="26"/>
        <v>0</v>
      </c>
      <c r="N110" s="485"/>
      <c r="O110" s="476">
        <f t="shared" si="21"/>
        <v>0</v>
      </c>
      <c r="P110" s="476">
        <f t="shared" si="22"/>
        <v>0</v>
      </c>
    </row>
    <row r="111" spans="1:16">
      <c r="B111" s="160" t="str">
        <f t="shared" si="23"/>
        <v/>
      </c>
      <c r="C111" s="470">
        <f>IF(D93="","-",+C110+1)</f>
        <v>2030</v>
      </c>
      <c r="D111" s="345">
        <f>IF(F110+SUM(E$99:E110)=D$92,F110,D$92-SUM(E$99:E110))</f>
        <v>968982</v>
      </c>
      <c r="E111" s="482">
        <f t="shared" si="27"/>
        <v>32814</v>
      </c>
      <c r="F111" s="483">
        <f t="shared" si="28"/>
        <v>936168</v>
      </c>
      <c r="G111" s="483">
        <f t="shared" si="29"/>
        <v>952575</v>
      </c>
      <c r="H111" s="611">
        <f t="shared" si="30"/>
        <v>141210.16982194665</v>
      </c>
      <c r="I111" s="612">
        <f t="shared" si="31"/>
        <v>141210.16982194665</v>
      </c>
      <c r="J111" s="476">
        <f t="shared" si="20"/>
        <v>0</v>
      </c>
      <c r="K111" s="476"/>
      <c r="L111" s="485"/>
      <c r="M111" s="476">
        <f t="shared" si="26"/>
        <v>0</v>
      </c>
      <c r="N111" s="485"/>
      <c r="O111" s="476">
        <f t="shared" si="21"/>
        <v>0</v>
      </c>
      <c r="P111" s="476">
        <f t="shared" si="22"/>
        <v>0</v>
      </c>
    </row>
    <row r="112" spans="1:16">
      <c r="B112" s="160" t="str">
        <f t="shared" si="23"/>
        <v/>
      </c>
      <c r="C112" s="470">
        <f>IF(D93="","-",+C111+1)</f>
        <v>2031</v>
      </c>
      <c r="D112" s="345">
        <f>IF(F111+SUM(E$99:E111)=D$92,F111,D$92-SUM(E$99:E111))</f>
        <v>936168</v>
      </c>
      <c r="E112" s="482">
        <f t="shared" si="27"/>
        <v>32814</v>
      </c>
      <c r="F112" s="483">
        <f t="shared" si="28"/>
        <v>903354</v>
      </c>
      <c r="G112" s="483">
        <f t="shared" si="29"/>
        <v>919761</v>
      </c>
      <c r="H112" s="611">
        <f t="shared" si="30"/>
        <v>137476.17311141218</v>
      </c>
      <c r="I112" s="612">
        <f t="shared" si="31"/>
        <v>137476.17311141218</v>
      </c>
      <c r="J112" s="476">
        <f t="shared" si="20"/>
        <v>0</v>
      </c>
      <c r="K112" s="476"/>
      <c r="L112" s="485"/>
      <c r="M112" s="476">
        <f t="shared" si="26"/>
        <v>0</v>
      </c>
      <c r="N112" s="485"/>
      <c r="O112" s="476">
        <f t="shared" si="21"/>
        <v>0</v>
      </c>
      <c r="P112" s="476">
        <f t="shared" si="22"/>
        <v>0</v>
      </c>
    </row>
    <row r="113" spans="2:16">
      <c r="B113" s="160" t="str">
        <f t="shared" si="23"/>
        <v/>
      </c>
      <c r="C113" s="470">
        <f>IF(D93="","-",+C112+1)</f>
        <v>2032</v>
      </c>
      <c r="D113" s="345">
        <f>IF(F112+SUM(E$99:E112)=D$92,F112,D$92-SUM(E$99:E112))</f>
        <v>903354</v>
      </c>
      <c r="E113" s="482">
        <f t="shared" si="27"/>
        <v>32814</v>
      </c>
      <c r="F113" s="483">
        <f t="shared" si="28"/>
        <v>870540</v>
      </c>
      <c r="G113" s="483">
        <f t="shared" si="29"/>
        <v>886947</v>
      </c>
      <c r="H113" s="611">
        <f t="shared" si="30"/>
        <v>133742.17640087771</v>
      </c>
      <c r="I113" s="612">
        <f t="shared" si="31"/>
        <v>133742.17640087771</v>
      </c>
      <c r="J113" s="476">
        <f t="shared" si="20"/>
        <v>0</v>
      </c>
      <c r="K113" s="476"/>
      <c r="L113" s="485"/>
      <c r="M113" s="476">
        <f t="shared" si="26"/>
        <v>0</v>
      </c>
      <c r="N113" s="485"/>
      <c r="O113" s="476">
        <f t="shared" si="21"/>
        <v>0</v>
      </c>
      <c r="P113" s="476">
        <f t="shared" si="22"/>
        <v>0</v>
      </c>
    </row>
    <row r="114" spans="2:16">
      <c r="B114" s="160" t="str">
        <f t="shared" si="23"/>
        <v/>
      </c>
      <c r="C114" s="470">
        <f>IF(D93="","-",+C113+1)</f>
        <v>2033</v>
      </c>
      <c r="D114" s="345">
        <f>IF(F113+SUM(E$99:E113)=D$92,F113,D$92-SUM(E$99:E113))</f>
        <v>870540</v>
      </c>
      <c r="E114" s="482">
        <f t="shared" si="27"/>
        <v>32814</v>
      </c>
      <c r="F114" s="483">
        <f t="shared" si="28"/>
        <v>837726</v>
      </c>
      <c r="G114" s="483">
        <f t="shared" si="29"/>
        <v>854133</v>
      </c>
      <c r="H114" s="611">
        <f t="shared" si="30"/>
        <v>130008.17969034327</v>
      </c>
      <c r="I114" s="612">
        <f t="shared" si="31"/>
        <v>130008.17969034327</v>
      </c>
      <c r="J114" s="476">
        <f t="shared" si="20"/>
        <v>0</v>
      </c>
      <c r="K114" s="476"/>
      <c r="L114" s="485"/>
      <c r="M114" s="476">
        <f t="shared" si="26"/>
        <v>0</v>
      </c>
      <c r="N114" s="485"/>
      <c r="O114" s="476">
        <f t="shared" si="21"/>
        <v>0</v>
      </c>
      <c r="P114" s="476">
        <f t="shared" si="22"/>
        <v>0</v>
      </c>
    </row>
    <row r="115" spans="2:16">
      <c r="B115" s="160" t="str">
        <f t="shared" si="23"/>
        <v/>
      </c>
      <c r="C115" s="470">
        <f>IF(D93="","-",+C114+1)</f>
        <v>2034</v>
      </c>
      <c r="D115" s="345">
        <f>IF(F114+SUM(E$99:E114)=D$92,F114,D$92-SUM(E$99:E114))</f>
        <v>837726</v>
      </c>
      <c r="E115" s="482">
        <f t="shared" si="27"/>
        <v>32814</v>
      </c>
      <c r="F115" s="483">
        <f t="shared" si="28"/>
        <v>804912</v>
      </c>
      <c r="G115" s="483">
        <f t="shared" si="29"/>
        <v>821319</v>
      </c>
      <c r="H115" s="611">
        <f t="shared" si="30"/>
        <v>126274.18297980883</v>
      </c>
      <c r="I115" s="612">
        <f t="shared" si="31"/>
        <v>126274.18297980883</v>
      </c>
      <c r="J115" s="476">
        <f t="shared" si="20"/>
        <v>0</v>
      </c>
      <c r="K115" s="476"/>
      <c r="L115" s="485"/>
      <c r="M115" s="476">
        <f t="shared" si="26"/>
        <v>0</v>
      </c>
      <c r="N115" s="485"/>
      <c r="O115" s="476">
        <f t="shared" si="21"/>
        <v>0</v>
      </c>
      <c r="P115" s="476">
        <f t="shared" si="22"/>
        <v>0</v>
      </c>
    </row>
    <row r="116" spans="2:16">
      <c r="B116" s="160" t="str">
        <f t="shared" si="23"/>
        <v/>
      </c>
      <c r="C116" s="470">
        <f>IF(D93="","-",+C115+1)</f>
        <v>2035</v>
      </c>
      <c r="D116" s="345">
        <f>IF(F115+SUM(E$99:E115)=D$92,F115,D$92-SUM(E$99:E115))</f>
        <v>804912</v>
      </c>
      <c r="E116" s="482">
        <f t="shared" si="27"/>
        <v>32814</v>
      </c>
      <c r="F116" s="483">
        <f t="shared" si="28"/>
        <v>772098</v>
      </c>
      <c r="G116" s="483">
        <f t="shared" si="29"/>
        <v>788505</v>
      </c>
      <c r="H116" s="611">
        <f t="shared" si="30"/>
        <v>122540.18626927437</v>
      </c>
      <c r="I116" s="612">
        <f t="shared" si="31"/>
        <v>122540.18626927437</v>
      </c>
      <c r="J116" s="476">
        <f t="shared" si="20"/>
        <v>0</v>
      </c>
      <c r="K116" s="476"/>
      <c r="L116" s="485"/>
      <c r="M116" s="476">
        <f t="shared" si="26"/>
        <v>0</v>
      </c>
      <c r="N116" s="485"/>
      <c r="O116" s="476">
        <f t="shared" si="21"/>
        <v>0</v>
      </c>
      <c r="P116" s="476">
        <f t="shared" si="22"/>
        <v>0</v>
      </c>
    </row>
    <row r="117" spans="2:16">
      <c r="B117" s="160" t="str">
        <f t="shared" si="23"/>
        <v/>
      </c>
      <c r="C117" s="470">
        <f>IF(D93="","-",+C116+1)</f>
        <v>2036</v>
      </c>
      <c r="D117" s="345">
        <f>IF(F116+SUM(E$99:E116)=D$92,F116,D$92-SUM(E$99:E116))</f>
        <v>772098</v>
      </c>
      <c r="E117" s="482">
        <f t="shared" si="27"/>
        <v>32814</v>
      </c>
      <c r="F117" s="483">
        <f t="shared" si="28"/>
        <v>739284</v>
      </c>
      <c r="G117" s="483">
        <f t="shared" si="29"/>
        <v>755691</v>
      </c>
      <c r="H117" s="611">
        <f t="shared" si="30"/>
        <v>118806.18955873992</v>
      </c>
      <c r="I117" s="612">
        <f t="shared" si="31"/>
        <v>118806.18955873992</v>
      </c>
      <c r="J117" s="476">
        <f t="shared" si="20"/>
        <v>0</v>
      </c>
      <c r="K117" s="476"/>
      <c r="L117" s="485"/>
      <c r="M117" s="476">
        <f t="shared" si="26"/>
        <v>0</v>
      </c>
      <c r="N117" s="485"/>
      <c r="O117" s="476">
        <f t="shared" si="21"/>
        <v>0</v>
      </c>
      <c r="P117" s="476">
        <f t="shared" si="22"/>
        <v>0</v>
      </c>
    </row>
    <row r="118" spans="2:16">
      <c r="B118" s="160" t="str">
        <f t="shared" si="23"/>
        <v/>
      </c>
      <c r="C118" s="470">
        <f>IF(D93="","-",+C117+1)</f>
        <v>2037</v>
      </c>
      <c r="D118" s="345">
        <f>IF(F117+SUM(E$99:E117)=D$92,F117,D$92-SUM(E$99:E117))</f>
        <v>739284</v>
      </c>
      <c r="E118" s="482">
        <f t="shared" si="27"/>
        <v>32814</v>
      </c>
      <c r="F118" s="483">
        <f t="shared" si="28"/>
        <v>706470</v>
      </c>
      <c r="G118" s="483">
        <f t="shared" si="29"/>
        <v>722877</v>
      </c>
      <c r="H118" s="611">
        <f t="shared" si="30"/>
        <v>115072.19284820546</v>
      </c>
      <c r="I118" s="612">
        <f t="shared" si="31"/>
        <v>115072.19284820546</v>
      </c>
      <c r="J118" s="476">
        <f t="shared" si="20"/>
        <v>0</v>
      </c>
      <c r="K118" s="476"/>
      <c r="L118" s="485"/>
      <c r="M118" s="476">
        <f t="shared" si="26"/>
        <v>0</v>
      </c>
      <c r="N118" s="485"/>
      <c r="O118" s="476">
        <f t="shared" si="21"/>
        <v>0</v>
      </c>
      <c r="P118" s="476">
        <f t="shared" si="22"/>
        <v>0</v>
      </c>
    </row>
    <row r="119" spans="2:16">
      <c r="B119" s="160" t="str">
        <f t="shared" si="23"/>
        <v/>
      </c>
      <c r="C119" s="470">
        <f>IF(D93="","-",+C118+1)</f>
        <v>2038</v>
      </c>
      <c r="D119" s="345">
        <f>IF(F118+SUM(E$99:E118)=D$92,F118,D$92-SUM(E$99:E118))</f>
        <v>706470</v>
      </c>
      <c r="E119" s="482">
        <f t="shared" si="27"/>
        <v>32814</v>
      </c>
      <c r="F119" s="483">
        <f t="shared" si="28"/>
        <v>673656</v>
      </c>
      <c r="G119" s="483">
        <f t="shared" si="29"/>
        <v>690063</v>
      </c>
      <c r="H119" s="611">
        <f t="shared" si="30"/>
        <v>111338.19613767101</v>
      </c>
      <c r="I119" s="612">
        <f t="shared" si="31"/>
        <v>111338.19613767101</v>
      </c>
      <c r="J119" s="476">
        <f t="shared" si="20"/>
        <v>0</v>
      </c>
      <c r="K119" s="476"/>
      <c r="L119" s="485"/>
      <c r="M119" s="476">
        <f t="shared" si="26"/>
        <v>0</v>
      </c>
      <c r="N119" s="485"/>
      <c r="O119" s="476">
        <f t="shared" si="21"/>
        <v>0</v>
      </c>
      <c r="P119" s="476">
        <f t="shared" si="22"/>
        <v>0</v>
      </c>
    </row>
    <row r="120" spans="2:16">
      <c r="B120" s="160" t="str">
        <f t="shared" si="23"/>
        <v/>
      </c>
      <c r="C120" s="470">
        <f>IF(D93="","-",+C119+1)</f>
        <v>2039</v>
      </c>
      <c r="D120" s="345">
        <f>IF(F119+SUM(E$99:E119)=D$92,F119,D$92-SUM(E$99:E119))</f>
        <v>673656</v>
      </c>
      <c r="E120" s="482">
        <f t="shared" si="27"/>
        <v>32814</v>
      </c>
      <c r="F120" s="483">
        <f t="shared" si="28"/>
        <v>640842</v>
      </c>
      <c r="G120" s="483">
        <f t="shared" si="29"/>
        <v>657249</v>
      </c>
      <c r="H120" s="611">
        <f t="shared" si="30"/>
        <v>107604.19942713655</v>
      </c>
      <c r="I120" s="612">
        <f t="shared" si="31"/>
        <v>107604.19942713655</v>
      </c>
      <c r="J120" s="476">
        <f t="shared" si="20"/>
        <v>0</v>
      </c>
      <c r="K120" s="476"/>
      <c r="L120" s="485"/>
      <c r="M120" s="476">
        <f t="shared" si="26"/>
        <v>0</v>
      </c>
      <c r="N120" s="485"/>
      <c r="O120" s="476">
        <f t="shared" si="21"/>
        <v>0</v>
      </c>
      <c r="P120" s="476">
        <f t="shared" si="22"/>
        <v>0</v>
      </c>
    </row>
    <row r="121" spans="2:16">
      <c r="B121" s="160" t="str">
        <f t="shared" si="23"/>
        <v/>
      </c>
      <c r="C121" s="470">
        <f>IF(D93="","-",+C120+1)</f>
        <v>2040</v>
      </c>
      <c r="D121" s="345">
        <f>IF(F120+SUM(E$99:E120)=D$92,F120,D$92-SUM(E$99:E120))</f>
        <v>640842</v>
      </c>
      <c r="E121" s="482">
        <f t="shared" si="27"/>
        <v>32814</v>
      </c>
      <c r="F121" s="483">
        <f t="shared" si="28"/>
        <v>608028</v>
      </c>
      <c r="G121" s="483">
        <f t="shared" si="29"/>
        <v>624435</v>
      </c>
      <c r="H121" s="611">
        <f t="shared" si="30"/>
        <v>103870.2027166021</v>
      </c>
      <c r="I121" s="612">
        <f t="shared" si="31"/>
        <v>103870.2027166021</v>
      </c>
      <c r="J121" s="476">
        <f t="shared" si="20"/>
        <v>0</v>
      </c>
      <c r="K121" s="476"/>
      <c r="L121" s="485"/>
      <c r="M121" s="476">
        <f t="shared" si="26"/>
        <v>0</v>
      </c>
      <c r="N121" s="485"/>
      <c r="O121" s="476">
        <f t="shared" si="21"/>
        <v>0</v>
      </c>
      <c r="P121" s="476">
        <f t="shared" si="22"/>
        <v>0</v>
      </c>
    </row>
    <row r="122" spans="2:16">
      <c r="B122" s="160" t="str">
        <f t="shared" si="23"/>
        <v/>
      </c>
      <c r="C122" s="470">
        <f>IF(D93="","-",+C121+1)</f>
        <v>2041</v>
      </c>
      <c r="D122" s="345">
        <f>IF(F121+SUM(E$99:E121)=D$92,F121,D$92-SUM(E$99:E121))</f>
        <v>608028</v>
      </c>
      <c r="E122" s="482">
        <f t="shared" si="27"/>
        <v>32814</v>
      </c>
      <c r="F122" s="483">
        <f t="shared" si="28"/>
        <v>575214</v>
      </c>
      <c r="G122" s="483">
        <f t="shared" si="29"/>
        <v>591621</v>
      </c>
      <c r="H122" s="611">
        <f t="shared" si="30"/>
        <v>100136.20600606764</v>
      </c>
      <c r="I122" s="612">
        <f t="shared" si="31"/>
        <v>100136.20600606764</v>
      </c>
      <c r="J122" s="476">
        <f t="shared" si="20"/>
        <v>0</v>
      </c>
      <c r="K122" s="476"/>
      <c r="L122" s="485"/>
      <c r="M122" s="476">
        <f t="shared" si="26"/>
        <v>0</v>
      </c>
      <c r="N122" s="485"/>
      <c r="O122" s="476">
        <f t="shared" si="21"/>
        <v>0</v>
      </c>
      <c r="P122" s="476">
        <f t="shared" si="22"/>
        <v>0</v>
      </c>
    </row>
    <row r="123" spans="2:16">
      <c r="B123" s="160" t="str">
        <f t="shared" si="23"/>
        <v/>
      </c>
      <c r="C123" s="470">
        <f>IF(D93="","-",+C122+1)</f>
        <v>2042</v>
      </c>
      <c r="D123" s="345">
        <f>IF(F122+SUM(E$99:E122)=D$92,F122,D$92-SUM(E$99:E122))</f>
        <v>575214</v>
      </c>
      <c r="E123" s="482">
        <f t="shared" si="27"/>
        <v>32814</v>
      </c>
      <c r="F123" s="483">
        <f t="shared" si="28"/>
        <v>542400</v>
      </c>
      <c r="G123" s="483">
        <f t="shared" si="29"/>
        <v>558807</v>
      </c>
      <c r="H123" s="611">
        <f t="shared" si="30"/>
        <v>96402.20929553319</v>
      </c>
      <c r="I123" s="612">
        <f t="shared" si="31"/>
        <v>96402.20929553319</v>
      </c>
      <c r="J123" s="476">
        <f t="shared" si="20"/>
        <v>0</v>
      </c>
      <c r="K123" s="476"/>
      <c r="L123" s="485"/>
      <c r="M123" s="476">
        <f t="shared" si="26"/>
        <v>0</v>
      </c>
      <c r="N123" s="485"/>
      <c r="O123" s="476">
        <f t="shared" si="21"/>
        <v>0</v>
      </c>
      <c r="P123" s="476">
        <f t="shared" si="22"/>
        <v>0</v>
      </c>
    </row>
    <row r="124" spans="2:16">
      <c r="B124" s="160" t="str">
        <f t="shared" si="23"/>
        <v/>
      </c>
      <c r="C124" s="470">
        <f>IF(D93="","-",+C123+1)</f>
        <v>2043</v>
      </c>
      <c r="D124" s="345">
        <f>IF(F123+SUM(E$99:E123)=D$92,F123,D$92-SUM(E$99:E123))</f>
        <v>542400</v>
      </c>
      <c r="E124" s="482">
        <f t="shared" si="27"/>
        <v>32814</v>
      </c>
      <c r="F124" s="483">
        <f t="shared" si="28"/>
        <v>509586</v>
      </c>
      <c r="G124" s="483">
        <f t="shared" si="29"/>
        <v>525993</v>
      </c>
      <c r="H124" s="611">
        <f t="shared" si="30"/>
        <v>92668.21258499875</v>
      </c>
      <c r="I124" s="612">
        <f t="shared" si="31"/>
        <v>92668.21258499875</v>
      </c>
      <c r="J124" s="476">
        <f t="shared" si="20"/>
        <v>0</v>
      </c>
      <c r="K124" s="476"/>
      <c r="L124" s="485"/>
      <c r="M124" s="476">
        <f t="shared" si="26"/>
        <v>0</v>
      </c>
      <c r="N124" s="485"/>
      <c r="O124" s="476">
        <f t="shared" si="21"/>
        <v>0</v>
      </c>
      <c r="P124" s="476">
        <f t="shared" si="22"/>
        <v>0</v>
      </c>
    </row>
    <row r="125" spans="2:16">
      <c r="B125" s="160" t="str">
        <f t="shared" si="23"/>
        <v/>
      </c>
      <c r="C125" s="470">
        <f>IF(D93="","-",+C124+1)</f>
        <v>2044</v>
      </c>
      <c r="D125" s="345">
        <f>IF(F124+SUM(E$99:E124)=D$92,F124,D$92-SUM(E$99:E124))</f>
        <v>509586</v>
      </c>
      <c r="E125" s="482">
        <f t="shared" si="27"/>
        <v>32814</v>
      </c>
      <c r="F125" s="483">
        <f t="shared" si="28"/>
        <v>476772</v>
      </c>
      <c r="G125" s="483">
        <f t="shared" si="29"/>
        <v>493179</v>
      </c>
      <c r="H125" s="611">
        <f t="shared" si="30"/>
        <v>88934.21587446428</v>
      </c>
      <c r="I125" s="612">
        <f t="shared" si="31"/>
        <v>88934.21587446428</v>
      </c>
      <c r="J125" s="476">
        <f t="shared" si="20"/>
        <v>0</v>
      </c>
      <c r="K125" s="476"/>
      <c r="L125" s="485"/>
      <c r="M125" s="476">
        <f t="shared" si="26"/>
        <v>0</v>
      </c>
      <c r="N125" s="485"/>
      <c r="O125" s="476">
        <f t="shared" si="21"/>
        <v>0</v>
      </c>
      <c r="P125" s="476">
        <f t="shared" si="22"/>
        <v>0</v>
      </c>
    </row>
    <row r="126" spans="2:16">
      <c r="B126" s="160" t="str">
        <f t="shared" si="23"/>
        <v/>
      </c>
      <c r="C126" s="470">
        <f>IF(D93="","-",+C125+1)</f>
        <v>2045</v>
      </c>
      <c r="D126" s="345">
        <f>IF(F125+SUM(E$99:E125)=D$92,F125,D$92-SUM(E$99:E125))</f>
        <v>476772</v>
      </c>
      <c r="E126" s="482">
        <f t="shared" si="27"/>
        <v>32814</v>
      </c>
      <c r="F126" s="483">
        <f t="shared" si="28"/>
        <v>443958</v>
      </c>
      <c r="G126" s="483">
        <f t="shared" si="29"/>
        <v>460365</v>
      </c>
      <c r="H126" s="611">
        <f t="shared" si="30"/>
        <v>85200.21916392984</v>
      </c>
      <c r="I126" s="612">
        <f t="shared" si="31"/>
        <v>85200.21916392984</v>
      </c>
      <c r="J126" s="476">
        <f t="shared" si="20"/>
        <v>0</v>
      </c>
      <c r="K126" s="476"/>
      <c r="L126" s="485"/>
      <c r="M126" s="476">
        <f t="shared" si="26"/>
        <v>0</v>
      </c>
      <c r="N126" s="485"/>
      <c r="O126" s="476">
        <f t="shared" si="21"/>
        <v>0</v>
      </c>
      <c r="P126" s="476">
        <f t="shared" si="22"/>
        <v>0</v>
      </c>
    </row>
    <row r="127" spans="2:16">
      <c r="B127" s="160" t="str">
        <f t="shared" si="23"/>
        <v/>
      </c>
      <c r="C127" s="470">
        <f>IF(D93="","-",+C126+1)</f>
        <v>2046</v>
      </c>
      <c r="D127" s="345">
        <f>IF(F126+SUM(E$99:E126)=D$92,F126,D$92-SUM(E$99:E126))</f>
        <v>443958</v>
      </c>
      <c r="E127" s="482">
        <f t="shared" si="27"/>
        <v>32814</v>
      </c>
      <c r="F127" s="483">
        <f t="shared" si="28"/>
        <v>411144</v>
      </c>
      <c r="G127" s="483">
        <f t="shared" si="29"/>
        <v>427551</v>
      </c>
      <c r="H127" s="611">
        <f t="shared" si="30"/>
        <v>81466.222453395385</v>
      </c>
      <c r="I127" s="612">
        <f t="shared" si="31"/>
        <v>81466.222453395385</v>
      </c>
      <c r="J127" s="476">
        <f t="shared" si="20"/>
        <v>0</v>
      </c>
      <c r="K127" s="476"/>
      <c r="L127" s="485"/>
      <c r="M127" s="476">
        <f t="shared" si="26"/>
        <v>0</v>
      </c>
      <c r="N127" s="485"/>
      <c r="O127" s="476">
        <f t="shared" si="21"/>
        <v>0</v>
      </c>
      <c r="P127" s="476">
        <f t="shared" si="22"/>
        <v>0</v>
      </c>
    </row>
    <row r="128" spans="2:16">
      <c r="B128" s="160" t="str">
        <f t="shared" si="23"/>
        <v/>
      </c>
      <c r="C128" s="470">
        <f>IF(D93="","-",+C127+1)</f>
        <v>2047</v>
      </c>
      <c r="D128" s="345">
        <f>IF(F127+SUM(E$99:E127)=D$92,F127,D$92-SUM(E$99:E127))</f>
        <v>411144</v>
      </c>
      <c r="E128" s="482">
        <f t="shared" si="27"/>
        <v>32814</v>
      </c>
      <c r="F128" s="483">
        <f t="shared" si="28"/>
        <v>378330</v>
      </c>
      <c r="G128" s="483">
        <f t="shared" si="29"/>
        <v>394737</v>
      </c>
      <c r="H128" s="611">
        <f t="shared" si="30"/>
        <v>77732.22574286093</v>
      </c>
      <c r="I128" s="612">
        <f t="shared" si="31"/>
        <v>77732.22574286093</v>
      </c>
      <c r="J128" s="476">
        <f t="shared" si="20"/>
        <v>0</v>
      </c>
      <c r="K128" s="476"/>
      <c r="L128" s="485"/>
      <c r="M128" s="476">
        <f t="shared" si="26"/>
        <v>0</v>
      </c>
      <c r="N128" s="485"/>
      <c r="O128" s="476">
        <f t="shared" si="21"/>
        <v>0</v>
      </c>
      <c r="P128" s="476">
        <f t="shared" si="22"/>
        <v>0</v>
      </c>
    </row>
    <row r="129" spans="2:16">
      <c r="B129" s="160" t="str">
        <f t="shared" si="23"/>
        <v/>
      </c>
      <c r="C129" s="470">
        <f>IF(D93="","-",+C128+1)</f>
        <v>2048</v>
      </c>
      <c r="D129" s="345">
        <f>IF(F128+SUM(E$99:E128)=D$92,F128,D$92-SUM(E$99:E128))</f>
        <v>378330</v>
      </c>
      <c r="E129" s="482">
        <f t="shared" si="27"/>
        <v>32814</v>
      </c>
      <c r="F129" s="483">
        <f t="shared" si="28"/>
        <v>345516</v>
      </c>
      <c r="G129" s="483">
        <f t="shared" si="29"/>
        <v>361923</v>
      </c>
      <c r="H129" s="611">
        <f t="shared" si="30"/>
        <v>73998.229032326475</v>
      </c>
      <c r="I129" s="612">
        <f t="shared" si="31"/>
        <v>73998.229032326475</v>
      </c>
      <c r="J129" s="476">
        <f t="shared" si="20"/>
        <v>0</v>
      </c>
      <c r="K129" s="476"/>
      <c r="L129" s="485"/>
      <c r="M129" s="476">
        <f t="shared" si="26"/>
        <v>0</v>
      </c>
      <c r="N129" s="485"/>
      <c r="O129" s="476">
        <f t="shared" si="21"/>
        <v>0</v>
      </c>
      <c r="P129" s="476">
        <f t="shared" si="22"/>
        <v>0</v>
      </c>
    </row>
    <row r="130" spans="2:16">
      <c r="B130" s="160" t="str">
        <f t="shared" si="23"/>
        <v/>
      </c>
      <c r="C130" s="470">
        <f>IF(D93="","-",+C129+1)</f>
        <v>2049</v>
      </c>
      <c r="D130" s="345">
        <f>IF(F129+SUM(E$99:E129)=D$92,F129,D$92-SUM(E$99:E129))</f>
        <v>345516</v>
      </c>
      <c r="E130" s="482">
        <f t="shared" si="27"/>
        <v>32814</v>
      </c>
      <c r="F130" s="483">
        <f t="shared" si="28"/>
        <v>312702</v>
      </c>
      <c r="G130" s="483">
        <f t="shared" si="29"/>
        <v>329109</v>
      </c>
      <c r="H130" s="611">
        <f t="shared" si="30"/>
        <v>70264.23232179202</v>
      </c>
      <c r="I130" s="612">
        <f t="shared" si="31"/>
        <v>70264.23232179202</v>
      </c>
      <c r="J130" s="476">
        <f t="shared" si="20"/>
        <v>0</v>
      </c>
      <c r="K130" s="476"/>
      <c r="L130" s="485"/>
      <c r="M130" s="476">
        <f t="shared" si="26"/>
        <v>0</v>
      </c>
      <c r="N130" s="485"/>
      <c r="O130" s="476">
        <f t="shared" si="21"/>
        <v>0</v>
      </c>
      <c r="P130" s="476">
        <f t="shared" si="22"/>
        <v>0</v>
      </c>
    </row>
    <row r="131" spans="2:16">
      <c r="B131" s="160" t="str">
        <f t="shared" si="23"/>
        <v/>
      </c>
      <c r="C131" s="470">
        <f>IF(D93="","-",+C130+1)</f>
        <v>2050</v>
      </c>
      <c r="D131" s="345">
        <f>IF(F130+SUM(E$99:E130)=D$92,F130,D$92-SUM(E$99:E130))</f>
        <v>312702</v>
      </c>
      <c r="E131" s="482">
        <f t="shared" si="27"/>
        <v>32814</v>
      </c>
      <c r="F131" s="483">
        <f t="shared" si="28"/>
        <v>279888</v>
      </c>
      <c r="G131" s="483">
        <f t="shared" si="29"/>
        <v>296295</v>
      </c>
      <c r="H131" s="611">
        <f t="shared" si="30"/>
        <v>66530.235611257565</v>
      </c>
      <c r="I131" s="612">
        <f t="shared" si="31"/>
        <v>66530.235611257565</v>
      </c>
      <c r="J131" s="476">
        <f t="shared" ref="J131:J154" si="32">+I541-H541</f>
        <v>0</v>
      </c>
      <c r="K131" s="476"/>
      <c r="L131" s="485"/>
      <c r="M131" s="476">
        <f t="shared" ref="M131:M154" si="33">IF(L541&lt;&gt;0,+H541-L541,0)</f>
        <v>0</v>
      </c>
      <c r="N131" s="485"/>
      <c r="O131" s="476">
        <f t="shared" ref="O131:O154" si="34">IF(N541&lt;&gt;0,+I541-N541,0)</f>
        <v>0</v>
      </c>
      <c r="P131" s="476">
        <f t="shared" ref="P131:P154" si="35">+O541-M541</f>
        <v>0</v>
      </c>
    </row>
    <row r="132" spans="2:16">
      <c r="B132" s="160" t="str">
        <f t="shared" si="23"/>
        <v/>
      </c>
      <c r="C132" s="470">
        <f>IF(D93="","-",+C131+1)</f>
        <v>2051</v>
      </c>
      <c r="D132" s="345">
        <f>IF(F131+SUM(E$99:E131)=D$92,F131,D$92-SUM(E$99:E131))</f>
        <v>279888</v>
      </c>
      <c r="E132" s="482">
        <f t="shared" si="27"/>
        <v>32814</v>
      </c>
      <c r="F132" s="483">
        <f t="shared" si="28"/>
        <v>247074</v>
      </c>
      <c r="G132" s="483">
        <f t="shared" si="29"/>
        <v>263481</v>
      </c>
      <c r="H132" s="611">
        <f t="shared" si="30"/>
        <v>62796.23890072311</v>
      </c>
      <c r="I132" s="612">
        <f t="shared" si="31"/>
        <v>62796.23890072311</v>
      </c>
      <c r="J132" s="476">
        <f t="shared" si="32"/>
        <v>0</v>
      </c>
      <c r="K132" s="476"/>
      <c r="L132" s="485"/>
      <c r="M132" s="476">
        <f t="shared" si="33"/>
        <v>0</v>
      </c>
      <c r="N132" s="485"/>
      <c r="O132" s="476">
        <f t="shared" si="34"/>
        <v>0</v>
      </c>
      <c r="P132" s="476">
        <f t="shared" si="35"/>
        <v>0</v>
      </c>
    </row>
    <row r="133" spans="2:16">
      <c r="B133" s="160" t="str">
        <f t="shared" si="23"/>
        <v/>
      </c>
      <c r="C133" s="470">
        <f>IF(D93="","-",+C132+1)</f>
        <v>2052</v>
      </c>
      <c r="D133" s="345">
        <f>IF(F132+SUM(E$99:E132)=D$92,F132,D$92-SUM(E$99:E132))</f>
        <v>247074</v>
      </c>
      <c r="E133" s="482">
        <f t="shared" si="27"/>
        <v>32814</v>
      </c>
      <c r="F133" s="483">
        <f t="shared" si="28"/>
        <v>214260</v>
      </c>
      <c r="G133" s="483">
        <f t="shared" si="29"/>
        <v>230667</v>
      </c>
      <c r="H133" s="611">
        <f t="shared" si="30"/>
        <v>59062.242190188663</v>
      </c>
      <c r="I133" s="612">
        <f t="shared" si="31"/>
        <v>59062.242190188663</v>
      </c>
      <c r="J133" s="476">
        <f t="shared" si="32"/>
        <v>0</v>
      </c>
      <c r="K133" s="476"/>
      <c r="L133" s="485"/>
      <c r="M133" s="476">
        <f t="shared" si="33"/>
        <v>0</v>
      </c>
      <c r="N133" s="485"/>
      <c r="O133" s="476">
        <f t="shared" si="34"/>
        <v>0</v>
      </c>
      <c r="P133" s="476">
        <f t="shared" si="35"/>
        <v>0</v>
      </c>
    </row>
    <row r="134" spans="2:16">
      <c r="B134" s="160" t="str">
        <f t="shared" si="23"/>
        <v/>
      </c>
      <c r="C134" s="470">
        <f>IF(D93="","-",+C133+1)</f>
        <v>2053</v>
      </c>
      <c r="D134" s="345">
        <f>IF(F133+SUM(E$99:E133)=D$92,F133,D$92-SUM(E$99:E133))</f>
        <v>214260</v>
      </c>
      <c r="E134" s="482">
        <f t="shared" si="27"/>
        <v>32814</v>
      </c>
      <c r="F134" s="483">
        <f t="shared" si="28"/>
        <v>181446</v>
      </c>
      <c r="G134" s="483">
        <f t="shared" si="29"/>
        <v>197853</v>
      </c>
      <c r="H134" s="611">
        <f t="shared" si="30"/>
        <v>55328.245479654208</v>
      </c>
      <c r="I134" s="612">
        <f t="shared" si="31"/>
        <v>55328.245479654208</v>
      </c>
      <c r="J134" s="476">
        <f t="shared" si="32"/>
        <v>0</v>
      </c>
      <c r="K134" s="476"/>
      <c r="L134" s="485"/>
      <c r="M134" s="476">
        <f t="shared" si="33"/>
        <v>0</v>
      </c>
      <c r="N134" s="485"/>
      <c r="O134" s="476">
        <f t="shared" si="34"/>
        <v>0</v>
      </c>
      <c r="P134" s="476">
        <f t="shared" si="35"/>
        <v>0</v>
      </c>
    </row>
    <row r="135" spans="2:16">
      <c r="B135" s="160" t="str">
        <f t="shared" si="23"/>
        <v/>
      </c>
      <c r="C135" s="470">
        <f>IF(D93="","-",+C134+1)</f>
        <v>2054</v>
      </c>
      <c r="D135" s="345">
        <f>IF(F134+SUM(E$99:E134)=D$92,F134,D$92-SUM(E$99:E134))</f>
        <v>181446</v>
      </c>
      <c r="E135" s="482">
        <f t="shared" si="27"/>
        <v>32814</v>
      </c>
      <c r="F135" s="483">
        <f t="shared" si="28"/>
        <v>148632</v>
      </c>
      <c r="G135" s="483">
        <f t="shared" si="29"/>
        <v>165039</v>
      </c>
      <c r="H135" s="611">
        <f t="shared" si="30"/>
        <v>51594.24876911976</v>
      </c>
      <c r="I135" s="612">
        <f t="shared" si="31"/>
        <v>51594.24876911976</v>
      </c>
      <c r="J135" s="476">
        <f t="shared" si="32"/>
        <v>0</v>
      </c>
      <c r="K135" s="476"/>
      <c r="L135" s="485"/>
      <c r="M135" s="476">
        <f t="shared" si="33"/>
        <v>0</v>
      </c>
      <c r="N135" s="485"/>
      <c r="O135" s="476">
        <f t="shared" si="34"/>
        <v>0</v>
      </c>
      <c r="P135" s="476">
        <f t="shared" si="35"/>
        <v>0</v>
      </c>
    </row>
    <row r="136" spans="2:16">
      <c r="B136" s="160" t="str">
        <f t="shared" si="23"/>
        <v/>
      </c>
      <c r="C136" s="470">
        <f>IF(D93="","-",+C135+1)</f>
        <v>2055</v>
      </c>
      <c r="D136" s="345">
        <f>IF(F135+SUM(E$99:E135)=D$92,F135,D$92-SUM(E$99:E135))</f>
        <v>148632</v>
      </c>
      <c r="E136" s="482">
        <f t="shared" si="27"/>
        <v>32814</v>
      </c>
      <c r="F136" s="483">
        <f t="shared" si="28"/>
        <v>115818</v>
      </c>
      <c r="G136" s="483">
        <f t="shared" si="29"/>
        <v>132225</v>
      </c>
      <c r="H136" s="611">
        <f t="shared" si="30"/>
        <v>47860.252058585305</v>
      </c>
      <c r="I136" s="612">
        <f t="shared" si="31"/>
        <v>47860.252058585305</v>
      </c>
      <c r="J136" s="476">
        <f t="shared" si="32"/>
        <v>0</v>
      </c>
      <c r="K136" s="476"/>
      <c r="L136" s="485"/>
      <c r="M136" s="476">
        <f t="shared" si="33"/>
        <v>0</v>
      </c>
      <c r="N136" s="485"/>
      <c r="O136" s="476">
        <f t="shared" si="34"/>
        <v>0</v>
      </c>
      <c r="P136" s="476">
        <f t="shared" si="35"/>
        <v>0</v>
      </c>
    </row>
    <row r="137" spans="2:16">
      <c r="B137" s="160" t="str">
        <f t="shared" si="23"/>
        <v/>
      </c>
      <c r="C137" s="470">
        <f>IF(D93="","-",+C136+1)</f>
        <v>2056</v>
      </c>
      <c r="D137" s="345">
        <f>IF(F136+SUM(E$99:E136)=D$92,F136,D$92-SUM(E$99:E136))</f>
        <v>115818</v>
      </c>
      <c r="E137" s="482">
        <f t="shared" si="27"/>
        <v>32814</v>
      </c>
      <c r="F137" s="483">
        <f t="shared" si="28"/>
        <v>83004</v>
      </c>
      <c r="G137" s="483">
        <f t="shared" si="29"/>
        <v>99411</v>
      </c>
      <c r="H137" s="611">
        <f t="shared" si="30"/>
        <v>44126.25534805085</v>
      </c>
      <c r="I137" s="612">
        <f t="shared" si="31"/>
        <v>44126.25534805085</v>
      </c>
      <c r="J137" s="476">
        <f t="shared" si="32"/>
        <v>0</v>
      </c>
      <c r="K137" s="476"/>
      <c r="L137" s="485"/>
      <c r="M137" s="476">
        <f t="shared" si="33"/>
        <v>0</v>
      </c>
      <c r="N137" s="485"/>
      <c r="O137" s="476">
        <f t="shared" si="34"/>
        <v>0</v>
      </c>
      <c r="P137" s="476">
        <f t="shared" si="35"/>
        <v>0</v>
      </c>
    </row>
    <row r="138" spans="2:16">
      <c r="B138" s="160" t="str">
        <f t="shared" si="23"/>
        <v/>
      </c>
      <c r="C138" s="470">
        <f>IF(D93="","-",+C137+1)</f>
        <v>2057</v>
      </c>
      <c r="D138" s="345">
        <f>IF(F137+SUM(E$99:E137)=D$92,F137,D$92-SUM(E$99:E137))</f>
        <v>83004</v>
      </c>
      <c r="E138" s="482">
        <f t="shared" si="27"/>
        <v>32814</v>
      </c>
      <c r="F138" s="483">
        <f t="shared" si="28"/>
        <v>50190</v>
      </c>
      <c r="G138" s="483">
        <f t="shared" si="29"/>
        <v>66597</v>
      </c>
      <c r="H138" s="611">
        <f t="shared" si="30"/>
        <v>40392.258637516396</v>
      </c>
      <c r="I138" s="612">
        <f t="shared" si="31"/>
        <v>40392.258637516396</v>
      </c>
      <c r="J138" s="476">
        <f t="shared" si="32"/>
        <v>0</v>
      </c>
      <c r="K138" s="476"/>
      <c r="L138" s="485"/>
      <c r="M138" s="476">
        <f t="shared" si="33"/>
        <v>0</v>
      </c>
      <c r="N138" s="485"/>
      <c r="O138" s="476">
        <f t="shared" si="34"/>
        <v>0</v>
      </c>
      <c r="P138" s="476">
        <f t="shared" si="35"/>
        <v>0</v>
      </c>
    </row>
    <row r="139" spans="2:16">
      <c r="B139" s="160" t="str">
        <f t="shared" si="23"/>
        <v/>
      </c>
      <c r="C139" s="470">
        <f>IF(D93="","-",+C138+1)</f>
        <v>2058</v>
      </c>
      <c r="D139" s="345">
        <f>IF(F138+SUM(E$99:E138)=D$92,F138,D$92-SUM(E$99:E138))</f>
        <v>50190</v>
      </c>
      <c r="E139" s="482">
        <f t="shared" si="27"/>
        <v>32814</v>
      </c>
      <c r="F139" s="483">
        <f t="shared" si="28"/>
        <v>17376</v>
      </c>
      <c r="G139" s="483">
        <f t="shared" si="29"/>
        <v>33783</v>
      </c>
      <c r="H139" s="611">
        <f t="shared" si="30"/>
        <v>36658.261926981941</v>
      </c>
      <c r="I139" s="612">
        <f t="shared" si="31"/>
        <v>36658.261926981941</v>
      </c>
      <c r="J139" s="476">
        <f t="shared" si="32"/>
        <v>0</v>
      </c>
      <c r="K139" s="476"/>
      <c r="L139" s="485"/>
      <c r="M139" s="476">
        <f t="shared" si="33"/>
        <v>0</v>
      </c>
      <c r="N139" s="485"/>
      <c r="O139" s="476">
        <f t="shared" si="34"/>
        <v>0</v>
      </c>
      <c r="P139" s="476">
        <f t="shared" si="35"/>
        <v>0</v>
      </c>
    </row>
    <row r="140" spans="2:16">
      <c r="B140" s="160" t="str">
        <f t="shared" si="23"/>
        <v/>
      </c>
      <c r="C140" s="470">
        <f>IF(D93="","-",+C139+1)</f>
        <v>2059</v>
      </c>
      <c r="D140" s="345">
        <f>IF(F139+SUM(E$99:E139)=D$92,F139,D$92-SUM(E$99:E139))</f>
        <v>17376</v>
      </c>
      <c r="E140" s="482">
        <f t="shared" si="27"/>
        <v>17376</v>
      </c>
      <c r="F140" s="483">
        <f t="shared" si="28"/>
        <v>0</v>
      </c>
      <c r="G140" s="483">
        <f t="shared" si="29"/>
        <v>8688</v>
      </c>
      <c r="H140" s="611">
        <f t="shared" si="30"/>
        <v>18364.631785857357</v>
      </c>
      <c r="I140" s="612">
        <f t="shared" si="31"/>
        <v>18364.631785857357</v>
      </c>
      <c r="J140" s="476">
        <f t="shared" si="32"/>
        <v>0</v>
      </c>
      <c r="K140" s="476"/>
      <c r="L140" s="485"/>
      <c r="M140" s="476">
        <f t="shared" si="33"/>
        <v>0</v>
      </c>
      <c r="N140" s="485"/>
      <c r="O140" s="476">
        <f t="shared" si="34"/>
        <v>0</v>
      </c>
      <c r="P140" s="476">
        <f t="shared" si="35"/>
        <v>0</v>
      </c>
    </row>
    <row r="141" spans="2:16">
      <c r="B141" s="160" t="str">
        <f t="shared" si="23"/>
        <v/>
      </c>
      <c r="C141" s="470">
        <f>IF(D93="","-",+C140+1)</f>
        <v>2060</v>
      </c>
      <c r="D141" s="345">
        <f>IF(F140+SUM(E$99:E140)=D$92,F140,D$92-SUM(E$99:E140))</f>
        <v>0</v>
      </c>
      <c r="E141" s="482">
        <f t="shared" si="27"/>
        <v>0</v>
      </c>
      <c r="F141" s="483">
        <f t="shared" si="28"/>
        <v>0</v>
      </c>
      <c r="G141" s="483">
        <f t="shared" si="29"/>
        <v>0</v>
      </c>
      <c r="H141" s="611">
        <f t="shared" si="30"/>
        <v>0</v>
      </c>
      <c r="I141" s="612">
        <f t="shared" si="31"/>
        <v>0</v>
      </c>
      <c r="J141" s="476">
        <f t="shared" si="32"/>
        <v>0</v>
      </c>
      <c r="K141" s="476"/>
      <c r="L141" s="485"/>
      <c r="M141" s="476">
        <f t="shared" si="33"/>
        <v>0</v>
      </c>
      <c r="N141" s="485"/>
      <c r="O141" s="476">
        <f t="shared" si="34"/>
        <v>0</v>
      </c>
      <c r="P141" s="476">
        <f t="shared" si="35"/>
        <v>0</v>
      </c>
    </row>
    <row r="142" spans="2:16">
      <c r="B142" s="160" t="str">
        <f t="shared" si="23"/>
        <v/>
      </c>
      <c r="C142" s="470">
        <f>IF(D93="","-",+C141+1)</f>
        <v>2061</v>
      </c>
      <c r="D142" s="345">
        <f>IF(F141+SUM(E$99:E141)=D$92,F141,D$92-SUM(E$99:E141))</f>
        <v>0</v>
      </c>
      <c r="E142" s="482">
        <f t="shared" si="27"/>
        <v>0</v>
      </c>
      <c r="F142" s="483">
        <f t="shared" si="28"/>
        <v>0</v>
      </c>
      <c r="G142" s="483">
        <f t="shared" si="29"/>
        <v>0</v>
      </c>
      <c r="H142" s="611">
        <f t="shared" si="30"/>
        <v>0</v>
      </c>
      <c r="I142" s="612">
        <f t="shared" si="31"/>
        <v>0</v>
      </c>
      <c r="J142" s="476">
        <f t="shared" si="32"/>
        <v>0</v>
      </c>
      <c r="K142" s="476"/>
      <c r="L142" s="485"/>
      <c r="M142" s="476">
        <f t="shared" si="33"/>
        <v>0</v>
      </c>
      <c r="N142" s="485"/>
      <c r="O142" s="476">
        <f t="shared" si="34"/>
        <v>0</v>
      </c>
      <c r="P142" s="476">
        <f t="shared" si="35"/>
        <v>0</v>
      </c>
    </row>
    <row r="143" spans="2:16">
      <c r="B143" s="160" t="str">
        <f t="shared" si="23"/>
        <v/>
      </c>
      <c r="C143" s="470">
        <f>IF(D93="","-",+C142+1)</f>
        <v>2062</v>
      </c>
      <c r="D143" s="345">
        <f>IF(F142+SUM(E$99:E142)=D$92,F142,D$92-SUM(E$99:E142))</f>
        <v>0</v>
      </c>
      <c r="E143" s="482">
        <f t="shared" si="27"/>
        <v>0</v>
      </c>
      <c r="F143" s="483">
        <f t="shared" si="28"/>
        <v>0</v>
      </c>
      <c r="G143" s="483">
        <f t="shared" si="29"/>
        <v>0</v>
      </c>
      <c r="H143" s="611">
        <f t="shared" si="30"/>
        <v>0</v>
      </c>
      <c r="I143" s="612">
        <f t="shared" si="31"/>
        <v>0</v>
      </c>
      <c r="J143" s="476">
        <f t="shared" si="32"/>
        <v>0</v>
      </c>
      <c r="K143" s="476"/>
      <c r="L143" s="485"/>
      <c r="M143" s="476">
        <f t="shared" si="33"/>
        <v>0</v>
      </c>
      <c r="N143" s="485"/>
      <c r="O143" s="476">
        <f t="shared" si="34"/>
        <v>0</v>
      </c>
      <c r="P143" s="476">
        <f t="shared" si="35"/>
        <v>0</v>
      </c>
    </row>
    <row r="144" spans="2:16">
      <c r="B144" s="160" t="str">
        <f t="shared" si="23"/>
        <v/>
      </c>
      <c r="C144" s="470">
        <f>IF(D93="","-",+C143+1)</f>
        <v>2063</v>
      </c>
      <c r="D144" s="345">
        <f>IF(F143+SUM(E$99:E143)=D$92,F143,D$92-SUM(E$99:E143))</f>
        <v>0</v>
      </c>
      <c r="E144" s="482">
        <f t="shared" si="27"/>
        <v>0</v>
      </c>
      <c r="F144" s="483">
        <f t="shared" si="28"/>
        <v>0</v>
      </c>
      <c r="G144" s="483">
        <f t="shared" si="29"/>
        <v>0</v>
      </c>
      <c r="H144" s="611">
        <f t="shared" si="30"/>
        <v>0</v>
      </c>
      <c r="I144" s="612">
        <f t="shared" si="31"/>
        <v>0</v>
      </c>
      <c r="J144" s="476">
        <f t="shared" si="32"/>
        <v>0</v>
      </c>
      <c r="K144" s="476"/>
      <c r="L144" s="485"/>
      <c r="M144" s="476">
        <f t="shared" si="33"/>
        <v>0</v>
      </c>
      <c r="N144" s="485"/>
      <c r="O144" s="476">
        <f t="shared" si="34"/>
        <v>0</v>
      </c>
      <c r="P144" s="476">
        <f t="shared" si="35"/>
        <v>0</v>
      </c>
    </row>
    <row r="145" spans="2:16">
      <c r="B145" s="160" t="str">
        <f t="shared" si="23"/>
        <v/>
      </c>
      <c r="C145" s="470">
        <f>IF(D93="","-",+C144+1)</f>
        <v>2064</v>
      </c>
      <c r="D145" s="345">
        <f>IF(F144+SUM(E$99:E144)=D$92,F144,D$92-SUM(E$99:E144))</f>
        <v>0</v>
      </c>
      <c r="E145" s="482">
        <f t="shared" si="27"/>
        <v>0</v>
      </c>
      <c r="F145" s="483">
        <f t="shared" si="28"/>
        <v>0</v>
      </c>
      <c r="G145" s="483">
        <f t="shared" si="29"/>
        <v>0</v>
      </c>
      <c r="H145" s="611">
        <f t="shared" si="30"/>
        <v>0</v>
      </c>
      <c r="I145" s="612">
        <f t="shared" si="31"/>
        <v>0</v>
      </c>
      <c r="J145" s="476">
        <f t="shared" si="32"/>
        <v>0</v>
      </c>
      <c r="K145" s="476"/>
      <c r="L145" s="485"/>
      <c r="M145" s="476">
        <f t="shared" si="33"/>
        <v>0</v>
      </c>
      <c r="N145" s="485"/>
      <c r="O145" s="476">
        <f t="shared" si="34"/>
        <v>0</v>
      </c>
      <c r="P145" s="476">
        <f t="shared" si="35"/>
        <v>0</v>
      </c>
    </row>
    <row r="146" spans="2:16">
      <c r="B146" s="160" t="str">
        <f t="shared" si="23"/>
        <v/>
      </c>
      <c r="C146" s="470">
        <f>IF(D93="","-",+C145+1)</f>
        <v>2065</v>
      </c>
      <c r="D146" s="345">
        <f>IF(F145+SUM(E$99:E145)=D$92,F145,D$92-SUM(E$99:E145))</f>
        <v>0</v>
      </c>
      <c r="E146" s="482">
        <f t="shared" si="27"/>
        <v>0</v>
      </c>
      <c r="F146" s="483">
        <f t="shared" si="28"/>
        <v>0</v>
      </c>
      <c r="G146" s="483">
        <f t="shared" si="29"/>
        <v>0</v>
      </c>
      <c r="H146" s="611">
        <f t="shared" si="30"/>
        <v>0</v>
      </c>
      <c r="I146" s="612">
        <f t="shared" si="31"/>
        <v>0</v>
      </c>
      <c r="J146" s="476">
        <f t="shared" si="32"/>
        <v>0</v>
      </c>
      <c r="K146" s="476"/>
      <c r="L146" s="485"/>
      <c r="M146" s="476">
        <f t="shared" si="33"/>
        <v>0</v>
      </c>
      <c r="N146" s="485"/>
      <c r="O146" s="476">
        <f t="shared" si="34"/>
        <v>0</v>
      </c>
      <c r="P146" s="476">
        <f t="shared" si="35"/>
        <v>0</v>
      </c>
    </row>
    <row r="147" spans="2:16">
      <c r="B147" s="160" t="str">
        <f t="shared" si="23"/>
        <v/>
      </c>
      <c r="C147" s="470">
        <f>IF(D93="","-",+C146+1)</f>
        <v>2066</v>
      </c>
      <c r="D147" s="345">
        <f>IF(F146+SUM(E$99:E146)=D$92,F146,D$92-SUM(E$99:E146))</f>
        <v>0</v>
      </c>
      <c r="E147" s="482">
        <f t="shared" si="27"/>
        <v>0</v>
      </c>
      <c r="F147" s="483">
        <f t="shared" si="28"/>
        <v>0</v>
      </c>
      <c r="G147" s="483">
        <f t="shared" si="29"/>
        <v>0</v>
      </c>
      <c r="H147" s="611">
        <f t="shared" si="30"/>
        <v>0</v>
      </c>
      <c r="I147" s="612">
        <f t="shared" si="31"/>
        <v>0</v>
      </c>
      <c r="J147" s="476">
        <f t="shared" si="32"/>
        <v>0</v>
      </c>
      <c r="K147" s="476"/>
      <c r="L147" s="485"/>
      <c r="M147" s="476">
        <f t="shared" si="33"/>
        <v>0</v>
      </c>
      <c r="N147" s="485"/>
      <c r="O147" s="476">
        <f t="shared" si="34"/>
        <v>0</v>
      </c>
      <c r="P147" s="476">
        <f t="shared" si="35"/>
        <v>0</v>
      </c>
    </row>
    <row r="148" spans="2:16">
      <c r="B148" s="160" t="str">
        <f t="shared" si="23"/>
        <v/>
      </c>
      <c r="C148" s="470">
        <f>IF(D93="","-",+C147+1)</f>
        <v>2067</v>
      </c>
      <c r="D148" s="345">
        <f>IF(F147+SUM(E$99:E147)=D$92,F147,D$92-SUM(E$99:E147))</f>
        <v>0</v>
      </c>
      <c r="E148" s="482">
        <f t="shared" si="27"/>
        <v>0</v>
      </c>
      <c r="F148" s="483">
        <f t="shared" si="28"/>
        <v>0</v>
      </c>
      <c r="G148" s="483">
        <f t="shared" si="29"/>
        <v>0</v>
      </c>
      <c r="H148" s="611">
        <f t="shared" si="30"/>
        <v>0</v>
      </c>
      <c r="I148" s="612">
        <f t="shared" si="31"/>
        <v>0</v>
      </c>
      <c r="J148" s="476">
        <f t="shared" si="32"/>
        <v>0</v>
      </c>
      <c r="K148" s="476"/>
      <c r="L148" s="485"/>
      <c r="M148" s="476">
        <f t="shared" si="33"/>
        <v>0</v>
      </c>
      <c r="N148" s="485"/>
      <c r="O148" s="476">
        <f t="shared" si="34"/>
        <v>0</v>
      </c>
      <c r="P148" s="476">
        <f t="shared" si="35"/>
        <v>0</v>
      </c>
    </row>
    <row r="149" spans="2:16">
      <c r="B149" s="160" t="str">
        <f t="shared" si="23"/>
        <v/>
      </c>
      <c r="C149" s="470">
        <f>IF(D93="","-",+C148+1)</f>
        <v>2068</v>
      </c>
      <c r="D149" s="345">
        <f>IF(F148+SUM(E$99:E148)=D$92,F148,D$92-SUM(E$99:E148))</f>
        <v>0</v>
      </c>
      <c r="E149" s="482">
        <f t="shared" si="27"/>
        <v>0</v>
      </c>
      <c r="F149" s="483">
        <f t="shared" si="28"/>
        <v>0</v>
      </c>
      <c r="G149" s="483">
        <f t="shared" si="29"/>
        <v>0</v>
      </c>
      <c r="H149" s="611">
        <f t="shared" si="30"/>
        <v>0</v>
      </c>
      <c r="I149" s="612">
        <f t="shared" si="31"/>
        <v>0</v>
      </c>
      <c r="J149" s="476">
        <f t="shared" si="32"/>
        <v>0</v>
      </c>
      <c r="K149" s="476"/>
      <c r="L149" s="485"/>
      <c r="M149" s="476">
        <f t="shared" si="33"/>
        <v>0</v>
      </c>
      <c r="N149" s="485"/>
      <c r="O149" s="476">
        <f t="shared" si="34"/>
        <v>0</v>
      </c>
      <c r="P149" s="476">
        <f t="shared" si="35"/>
        <v>0</v>
      </c>
    </row>
    <row r="150" spans="2:16">
      <c r="B150" s="160" t="str">
        <f t="shared" si="23"/>
        <v/>
      </c>
      <c r="C150" s="470">
        <f>IF(D93="","-",+C149+1)</f>
        <v>2069</v>
      </c>
      <c r="D150" s="345">
        <f>IF(F149+SUM(E$99:E149)=D$92,F149,D$92-SUM(E$99:E149))</f>
        <v>0</v>
      </c>
      <c r="E150" s="482">
        <f t="shared" si="27"/>
        <v>0</v>
      </c>
      <c r="F150" s="483">
        <f t="shared" si="28"/>
        <v>0</v>
      </c>
      <c r="G150" s="483">
        <f t="shared" si="29"/>
        <v>0</v>
      </c>
      <c r="H150" s="611">
        <f t="shared" si="30"/>
        <v>0</v>
      </c>
      <c r="I150" s="612">
        <f t="shared" si="31"/>
        <v>0</v>
      </c>
      <c r="J150" s="476">
        <f t="shared" si="32"/>
        <v>0</v>
      </c>
      <c r="K150" s="476"/>
      <c r="L150" s="485"/>
      <c r="M150" s="476">
        <f t="shared" si="33"/>
        <v>0</v>
      </c>
      <c r="N150" s="485"/>
      <c r="O150" s="476">
        <f t="shared" si="34"/>
        <v>0</v>
      </c>
      <c r="P150" s="476">
        <f t="shared" si="35"/>
        <v>0</v>
      </c>
    </row>
    <row r="151" spans="2:16">
      <c r="B151" s="160" t="str">
        <f t="shared" si="23"/>
        <v/>
      </c>
      <c r="C151" s="470">
        <f>IF(D93="","-",+C150+1)</f>
        <v>2070</v>
      </c>
      <c r="D151" s="345">
        <f>IF(F150+SUM(E$99:E150)=D$92,F150,D$92-SUM(E$99:E150))</f>
        <v>0</v>
      </c>
      <c r="E151" s="482">
        <f t="shared" si="27"/>
        <v>0</v>
      </c>
      <c r="F151" s="483">
        <f t="shared" si="28"/>
        <v>0</v>
      </c>
      <c r="G151" s="483">
        <f t="shared" si="29"/>
        <v>0</v>
      </c>
      <c r="H151" s="611">
        <f t="shared" si="30"/>
        <v>0</v>
      </c>
      <c r="I151" s="612">
        <f t="shared" si="31"/>
        <v>0</v>
      </c>
      <c r="J151" s="476">
        <f t="shared" si="32"/>
        <v>0</v>
      </c>
      <c r="K151" s="476"/>
      <c r="L151" s="485"/>
      <c r="M151" s="476">
        <f t="shared" si="33"/>
        <v>0</v>
      </c>
      <c r="N151" s="485"/>
      <c r="O151" s="476">
        <f t="shared" si="34"/>
        <v>0</v>
      </c>
      <c r="P151" s="476">
        <f t="shared" si="35"/>
        <v>0</v>
      </c>
    </row>
    <row r="152" spans="2:16">
      <c r="B152" s="160" t="str">
        <f t="shared" si="23"/>
        <v/>
      </c>
      <c r="C152" s="470">
        <f>IF(D93="","-",+C151+1)</f>
        <v>2071</v>
      </c>
      <c r="D152" s="345">
        <f>IF(F151+SUM(E$99:E151)=D$92,F151,D$92-SUM(E$99:E151))</f>
        <v>0</v>
      </c>
      <c r="E152" s="482">
        <f t="shared" si="27"/>
        <v>0</v>
      </c>
      <c r="F152" s="483">
        <f t="shared" si="28"/>
        <v>0</v>
      </c>
      <c r="G152" s="483">
        <f t="shared" si="29"/>
        <v>0</v>
      </c>
      <c r="H152" s="611">
        <f t="shared" si="30"/>
        <v>0</v>
      </c>
      <c r="I152" s="612">
        <f t="shared" si="31"/>
        <v>0</v>
      </c>
      <c r="J152" s="476">
        <f t="shared" si="32"/>
        <v>0</v>
      </c>
      <c r="K152" s="476"/>
      <c r="L152" s="485"/>
      <c r="M152" s="476">
        <f t="shared" si="33"/>
        <v>0</v>
      </c>
      <c r="N152" s="485"/>
      <c r="O152" s="476">
        <f t="shared" si="34"/>
        <v>0</v>
      </c>
      <c r="P152" s="476">
        <f t="shared" si="35"/>
        <v>0</v>
      </c>
    </row>
    <row r="153" spans="2:16">
      <c r="B153" s="160" t="str">
        <f t="shared" si="23"/>
        <v/>
      </c>
      <c r="C153" s="470">
        <f>IF(D93="","-",+C152+1)</f>
        <v>2072</v>
      </c>
      <c r="D153" s="345">
        <f>IF(F152+SUM(E$99:E152)=D$92,F152,D$92-SUM(E$99:E152))</f>
        <v>0</v>
      </c>
      <c r="E153" s="482">
        <f t="shared" si="27"/>
        <v>0</v>
      </c>
      <c r="F153" s="483">
        <f t="shared" si="28"/>
        <v>0</v>
      </c>
      <c r="G153" s="483">
        <f t="shared" si="29"/>
        <v>0</v>
      </c>
      <c r="H153" s="611">
        <f t="shared" si="30"/>
        <v>0</v>
      </c>
      <c r="I153" s="612">
        <f t="shared" si="31"/>
        <v>0</v>
      </c>
      <c r="J153" s="476">
        <f t="shared" si="32"/>
        <v>0</v>
      </c>
      <c r="K153" s="476"/>
      <c r="L153" s="485"/>
      <c r="M153" s="476">
        <f t="shared" si="33"/>
        <v>0</v>
      </c>
      <c r="N153" s="485"/>
      <c r="O153" s="476">
        <f t="shared" si="34"/>
        <v>0</v>
      </c>
      <c r="P153" s="476">
        <f t="shared" si="35"/>
        <v>0</v>
      </c>
    </row>
    <row r="154" spans="2:16" ht="13.5" thickBot="1">
      <c r="B154" s="160" t="str">
        <f t="shared" si="23"/>
        <v/>
      </c>
      <c r="C154" s="487">
        <f>IF(D93="","-",+C153+1)</f>
        <v>2073</v>
      </c>
      <c r="D154" s="541">
        <f>IF(F153+SUM(E$99:E153)=D$92,F153,D$92-SUM(E$99:E153))</f>
        <v>0</v>
      </c>
      <c r="E154" s="489">
        <f t="shared" si="27"/>
        <v>0</v>
      </c>
      <c r="F154" s="488">
        <f t="shared" si="28"/>
        <v>0</v>
      </c>
      <c r="G154" s="488">
        <f t="shared" si="29"/>
        <v>0</v>
      </c>
      <c r="H154" s="613">
        <f t="shared" si="30"/>
        <v>0</v>
      </c>
      <c r="I154" s="614">
        <f t="shared" si="31"/>
        <v>0</v>
      </c>
      <c r="J154" s="493">
        <f t="shared" si="32"/>
        <v>0</v>
      </c>
      <c r="K154" s="476"/>
      <c r="L154" s="492"/>
      <c r="M154" s="493">
        <f t="shared" si="33"/>
        <v>0</v>
      </c>
      <c r="N154" s="492"/>
      <c r="O154" s="493">
        <f t="shared" si="34"/>
        <v>0</v>
      </c>
      <c r="P154" s="493">
        <f t="shared" si="35"/>
        <v>0</v>
      </c>
    </row>
    <row r="155" spans="2:16">
      <c r="C155" s="345" t="s">
        <v>77</v>
      </c>
      <c r="D155" s="346"/>
      <c r="E155" s="346">
        <f>SUM(E99:E154)</f>
        <v>1345383</v>
      </c>
      <c r="F155" s="346"/>
      <c r="G155" s="346"/>
      <c r="H155" s="346">
        <f>SUM(H99:H154)</f>
        <v>4463339.4028648315</v>
      </c>
      <c r="I155" s="346">
        <f>SUM(I99:I154)</f>
        <v>4463339.4028648315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21" priority="1" stopIfTrue="1" operator="equal">
      <formula>$I$10</formula>
    </cfRule>
  </conditionalFormatting>
  <conditionalFormatting sqref="C99:C154">
    <cfRule type="cellIs" dxfId="20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162"/>
  <sheetViews>
    <sheetView topLeftCell="A89" zoomScale="85" zoomScaleNormal="85" workbookViewId="0">
      <selection activeCell="D99" sqref="D99:I10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25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34178.610771160769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34178.610771160769</v>
      </c>
      <c r="O6" s="231"/>
      <c r="P6" s="231"/>
    </row>
    <row r="7" spans="1:16" ht="13.5" thickBot="1">
      <c r="C7" s="429" t="s">
        <v>46</v>
      </c>
      <c r="D7" s="597" t="s">
        <v>320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321</v>
      </c>
      <c r="E9" s="621" t="s">
        <v>342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288859.60000000003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2018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12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7601.5684210526324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2018</v>
      </c>
      <c r="D17" s="582">
        <v>0</v>
      </c>
      <c r="E17" s="606">
        <v>11600</v>
      </c>
      <c r="F17" s="582">
        <v>1032400</v>
      </c>
      <c r="G17" s="606">
        <v>81460.13871045578</v>
      </c>
      <c r="H17" s="585">
        <v>81460.13871045578</v>
      </c>
      <c r="I17" s="473">
        <f>H17-G17</f>
        <v>0</v>
      </c>
      <c r="J17" s="473"/>
      <c r="K17" s="552">
        <f t="shared" ref="K17:K22" si="0">+G17</f>
        <v>81460.13871045578</v>
      </c>
      <c r="L17" s="475">
        <f t="shared" ref="L17:L72" si="1">IF(K17&lt;&gt;0,+G17-K17,0)</f>
        <v>0</v>
      </c>
      <c r="M17" s="552">
        <f t="shared" ref="M17:M22" si="2">+H17</f>
        <v>81460.13871045578</v>
      </c>
      <c r="N17" s="475">
        <f t="shared" ref="N17:N72" si="3">IF(M17&lt;&gt;0,+H17-M17,0)</f>
        <v>0</v>
      </c>
      <c r="O17" s="476">
        <f t="shared" ref="O17:O72" si="4">+N17-L17</f>
        <v>0</v>
      </c>
      <c r="P17" s="241"/>
    </row>
    <row r="18" spans="2:16">
      <c r="B18" s="160" t="str">
        <f>IF(D18=F17,"","IU")</f>
        <v>IU</v>
      </c>
      <c r="C18" s="470">
        <f>IF(D11="","-",+C17+1)</f>
        <v>2019</v>
      </c>
      <c r="D18" s="582">
        <v>0</v>
      </c>
      <c r="E18" s="583">
        <v>11600</v>
      </c>
      <c r="F18" s="582">
        <v>1032400</v>
      </c>
      <c r="G18" s="583">
        <v>73419.565193351213</v>
      </c>
      <c r="H18" s="585">
        <v>73419.565193351213</v>
      </c>
      <c r="I18" s="473">
        <f>H18-G18</f>
        <v>0</v>
      </c>
      <c r="J18" s="473"/>
      <c r="K18" s="476">
        <f t="shared" si="0"/>
        <v>73419.565193351213</v>
      </c>
      <c r="L18" s="476">
        <f t="shared" si="1"/>
        <v>0</v>
      </c>
      <c r="M18" s="476">
        <f t="shared" si="2"/>
        <v>73419.565193351213</v>
      </c>
      <c r="N18" s="476">
        <f t="shared" si="3"/>
        <v>0</v>
      </c>
      <c r="O18" s="476">
        <f t="shared" si="4"/>
        <v>0</v>
      </c>
      <c r="P18" s="241"/>
    </row>
    <row r="19" spans="2:16">
      <c r="B19" s="160" t="str">
        <f>IF(D19=F18,"","IU")</f>
        <v>IU</v>
      </c>
      <c r="C19" s="470">
        <f>IF(D11="","-",+C18+1)</f>
        <v>2020</v>
      </c>
      <c r="D19" s="582">
        <v>267280</v>
      </c>
      <c r="E19" s="583">
        <v>7192.3809523809523</v>
      </c>
      <c r="F19" s="582">
        <v>260087.61904761905</v>
      </c>
      <c r="G19" s="583">
        <v>35671.491974766584</v>
      </c>
      <c r="H19" s="585">
        <v>35671.491974766584</v>
      </c>
      <c r="I19" s="473">
        <f t="shared" ref="I19:I71" si="5">H19-G19</f>
        <v>0</v>
      </c>
      <c r="J19" s="473"/>
      <c r="K19" s="476">
        <f t="shared" si="0"/>
        <v>35671.491974766584</v>
      </c>
      <c r="L19" s="476">
        <f t="shared" ref="L19" si="6">IF(K19&lt;&gt;0,+G19-K19,0)</f>
        <v>0</v>
      </c>
      <c r="M19" s="476">
        <f t="shared" si="2"/>
        <v>35671.491974766584</v>
      </c>
      <c r="N19" s="476">
        <f t="shared" si="3"/>
        <v>0</v>
      </c>
      <c r="O19" s="476">
        <f t="shared" si="4"/>
        <v>0</v>
      </c>
      <c r="P19" s="241"/>
    </row>
    <row r="20" spans="2:16">
      <c r="B20" s="160" t="str">
        <f t="shared" ref="B20:B72" si="7">IF(D20=F19,"","IU")</f>
        <v>IU</v>
      </c>
      <c r="C20" s="470">
        <f>IF(D11="","-",+C19+1)</f>
        <v>2021</v>
      </c>
      <c r="D20" s="582">
        <v>258467.61904761905</v>
      </c>
      <c r="E20" s="583">
        <v>6717.6744186046508</v>
      </c>
      <c r="F20" s="582">
        <v>251749.94462901441</v>
      </c>
      <c r="G20" s="583">
        <v>34223.924690152948</v>
      </c>
      <c r="H20" s="585">
        <v>34223.924690152948</v>
      </c>
      <c r="I20" s="473">
        <f t="shared" si="5"/>
        <v>0</v>
      </c>
      <c r="J20" s="473"/>
      <c r="K20" s="476">
        <f t="shared" si="0"/>
        <v>34223.924690152948</v>
      </c>
      <c r="L20" s="476">
        <f t="shared" ref="L20" si="8">IF(K20&lt;&gt;0,+G20-K20,0)</f>
        <v>0</v>
      </c>
      <c r="M20" s="476">
        <f t="shared" si="2"/>
        <v>34223.924690152948</v>
      </c>
      <c r="N20" s="476">
        <f t="shared" si="3"/>
        <v>0</v>
      </c>
      <c r="O20" s="476">
        <f t="shared" si="4"/>
        <v>0</v>
      </c>
      <c r="P20" s="241"/>
    </row>
    <row r="21" spans="2:16">
      <c r="B21" s="160" t="str">
        <f t="shared" si="7"/>
        <v/>
      </c>
      <c r="C21" s="470">
        <f>IF(D11="","-",+C20+1)</f>
        <v>2022</v>
      </c>
      <c r="D21" s="582">
        <v>251749.94462901441</v>
      </c>
      <c r="E21" s="583">
        <v>6877.6190476190477</v>
      </c>
      <c r="F21" s="582">
        <v>244872.32558139536</v>
      </c>
      <c r="G21" s="583">
        <v>33648.35187112401</v>
      </c>
      <c r="H21" s="585">
        <v>33648.35187112401</v>
      </c>
      <c r="I21" s="473">
        <f t="shared" si="5"/>
        <v>0</v>
      </c>
      <c r="J21" s="473"/>
      <c r="K21" s="476">
        <f t="shared" si="0"/>
        <v>33648.35187112401</v>
      </c>
      <c r="L21" s="476">
        <f t="shared" ref="L21" si="9">IF(K21&lt;&gt;0,+G21-K21,0)</f>
        <v>0</v>
      </c>
      <c r="M21" s="476">
        <f t="shared" si="2"/>
        <v>33648.35187112401</v>
      </c>
      <c r="N21" s="476">
        <f t="shared" si="3"/>
        <v>0</v>
      </c>
      <c r="O21" s="476">
        <f t="shared" si="4"/>
        <v>0</v>
      </c>
      <c r="P21" s="241"/>
    </row>
    <row r="22" spans="2:16">
      <c r="B22" s="160" t="str">
        <f t="shared" si="7"/>
        <v>IU</v>
      </c>
      <c r="C22" s="470">
        <f>IF(D11="","-",+C21+1)</f>
        <v>2023</v>
      </c>
      <c r="D22" s="582">
        <v>244871.92558139539</v>
      </c>
      <c r="E22" s="583">
        <v>7406.6564102564107</v>
      </c>
      <c r="F22" s="582">
        <v>237465.26917113899</v>
      </c>
      <c r="G22" s="583">
        <v>36192.287124459006</v>
      </c>
      <c r="H22" s="585">
        <v>36192.287124459006</v>
      </c>
      <c r="I22" s="473">
        <f t="shared" si="5"/>
        <v>0</v>
      </c>
      <c r="J22" s="473"/>
      <c r="K22" s="476">
        <f t="shared" si="0"/>
        <v>36192.287124459006</v>
      </c>
      <c r="L22" s="476">
        <f t="shared" ref="L22" si="10">IF(K22&lt;&gt;0,+G22-K22,0)</f>
        <v>0</v>
      </c>
      <c r="M22" s="476">
        <f t="shared" si="2"/>
        <v>36192.287124459006</v>
      </c>
      <c r="N22" s="476">
        <f t="shared" ref="N22" si="11">IF(M22&lt;&gt;0,+H22-M22,0)</f>
        <v>0</v>
      </c>
      <c r="O22" s="476">
        <f t="shared" ref="O22" si="12">+N22-L22</f>
        <v>0</v>
      </c>
      <c r="P22" s="241"/>
    </row>
    <row r="23" spans="2:16">
      <c r="B23" s="160" t="str">
        <f t="shared" si="7"/>
        <v/>
      </c>
      <c r="C23" s="631">
        <f>IF(D11="","-",+C22+1)</f>
        <v>2024</v>
      </c>
      <c r="D23" s="481">
        <f>IF(F22+SUM(E$17:E22)=D$10,F22,D$10-SUM(E$17:E22))</f>
        <v>237465.26917113899</v>
      </c>
      <c r="E23" s="482">
        <f t="shared" ref="E23:E71" si="13">IF(+I$14&lt;F22,I$14,D23)</f>
        <v>7601.5684210526324</v>
      </c>
      <c r="F23" s="483">
        <f t="shared" ref="F23:F71" si="14">+D23-E23</f>
        <v>229863.70075008637</v>
      </c>
      <c r="G23" s="484">
        <f t="shared" ref="G23:G71" si="15">(D23+F23)/2*I$12+E23</f>
        <v>34178.610771160769</v>
      </c>
      <c r="H23" s="453">
        <f t="shared" ref="H23:H71" si="16">+(D23+F23)/2*I$13+E23</f>
        <v>34178.610771160769</v>
      </c>
      <c r="I23" s="473">
        <f t="shared" si="5"/>
        <v>0</v>
      </c>
      <c r="J23" s="473"/>
      <c r="K23" s="485"/>
      <c r="L23" s="476">
        <f t="shared" si="1"/>
        <v>0</v>
      </c>
      <c r="M23" s="485"/>
      <c r="N23" s="476">
        <f t="shared" si="3"/>
        <v>0</v>
      </c>
      <c r="O23" s="476">
        <f t="shared" si="4"/>
        <v>0</v>
      </c>
      <c r="P23" s="241"/>
    </row>
    <row r="24" spans="2:16">
      <c r="B24" s="160" t="str">
        <f t="shared" si="7"/>
        <v/>
      </c>
      <c r="C24" s="470">
        <f>IF(D11="","-",+C23+1)</f>
        <v>2025</v>
      </c>
      <c r="D24" s="481">
        <f>IF(F23+SUM(E$17:E23)=D$10,F23,D$10-SUM(E$17:E23))</f>
        <v>229863.70075008637</v>
      </c>
      <c r="E24" s="482">
        <f t="shared" si="13"/>
        <v>7601.5684210526324</v>
      </c>
      <c r="F24" s="483">
        <f t="shared" si="14"/>
        <v>222262.13232903375</v>
      </c>
      <c r="G24" s="484">
        <f t="shared" si="15"/>
        <v>33314.006953051168</v>
      </c>
      <c r="H24" s="453">
        <f t="shared" si="16"/>
        <v>33314.006953051168</v>
      </c>
      <c r="I24" s="473">
        <f t="shared" si="5"/>
        <v>0</v>
      </c>
      <c r="J24" s="473"/>
      <c r="K24" s="485"/>
      <c r="L24" s="476">
        <f t="shared" si="1"/>
        <v>0</v>
      </c>
      <c r="M24" s="485"/>
      <c r="N24" s="476">
        <f t="shared" si="3"/>
        <v>0</v>
      </c>
      <c r="O24" s="476">
        <f t="shared" si="4"/>
        <v>0</v>
      </c>
      <c r="P24" s="241"/>
    </row>
    <row r="25" spans="2:16">
      <c r="B25" s="160" t="str">
        <f t="shared" si="7"/>
        <v/>
      </c>
      <c r="C25" s="470">
        <f>IF(D11="","-",+C24+1)</f>
        <v>2026</v>
      </c>
      <c r="D25" s="481">
        <f>IF(F24+SUM(E$17:E24)=D$10,F24,D$10-SUM(E$17:E24))</f>
        <v>222262.13232903375</v>
      </c>
      <c r="E25" s="482">
        <f t="shared" si="13"/>
        <v>7601.5684210526324</v>
      </c>
      <c r="F25" s="483">
        <f t="shared" si="14"/>
        <v>214660.56390798112</v>
      </c>
      <c r="G25" s="484">
        <f t="shared" si="15"/>
        <v>32449.40313494156</v>
      </c>
      <c r="H25" s="453">
        <f t="shared" si="16"/>
        <v>32449.40313494156</v>
      </c>
      <c r="I25" s="473">
        <f t="shared" si="5"/>
        <v>0</v>
      </c>
      <c r="J25" s="473"/>
      <c r="K25" s="485"/>
      <c r="L25" s="476">
        <f t="shared" si="1"/>
        <v>0</v>
      </c>
      <c r="M25" s="485"/>
      <c r="N25" s="476">
        <f t="shared" si="3"/>
        <v>0</v>
      </c>
      <c r="O25" s="476">
        <f t="shared" si="4"/>
        <v>0</v>
      </c>
      <c r="P25" s="241"/>
    </row>
    <row r="26" spans="2:16">
      <c r="B26" s="160" t="str">
        <f t="shared" si="7"/>
        <v/>
      </c>
      <c r="C26" s="470">
        <f>IF(D11="","-",+C25+1)</f>
        <v>2027</v>
      </c>
      <c r="D26" s="481">
        <f>IF(F25+SUM(E$17:E25)=D$10,F25,D$10-SUM(E$17:E25))</f>
        <v>214660.56390798112</v>
      </c>
      <c r="E26" s="482">
        <f t="shared" si="13"/>
        <v>7601.5684210526324</v>
      </c>
      <c r="F26" s="483">
        <f t="shared" si="14"/>
        <v>207058.9954869285</v>
      </c>
      <c r="G26" s="484">
        <f t="shared" si="15"/>
        <v>31584.799316831959</v>
      </c>
      <c r="H26" s="453">
        <f t="shared" si="16"/>
        <v>31584.799316831959</v>
      </c>
      <c r="I26" s="473">
        <f t="shared" si="5"/>
        <v>0</v>
      </c>
      <c r="J26" s="473"/>
      <c r="K26" s="485"/>
      <c r="L26" s="476">
        <f t="shared" si="1"/>
        <v>0</v>
      </c>
      <c r="M26" s="485"/>
      <c r="N26" s="476">
        <f t="shared" si="3"/>
        <v>0</v>
      </c>
      <c r="O26" s="476">
        <f t="shared" si="4"/>
        <v>0</v>
      </c>
      <c r="P26" s="241"/>
    </row>
    <row r="27" spans="2:16">
      <c r="B27" s="160" t="str">
        <f t="shared" si="7"/>
        <v/>
      </c>
      <c r="C27" s="470">
        <f>IF(D11="","-",+C26+1)</f>
        <v>2028</v>
      </c>
      <c r="D27" s="481">
        <f>IF(F26+SUM(E$17:E26)=D$10,F26,D$10-SUM(E$17:E26))</f>
        <v>207058.9954869285</v>
      </c>
      <c r="E27" s="482">
        <f t="shared" si="13"/>
        <v>7601.5684210526324</v>
      </c>
      <c r="F27" s="483">
        <f t="shared" si="14"/>
        <v>199457.42706587588</v>
      </c>
      <c r="G27" s="484">
        <f t="shared" si="15"/>
        <v>30720.195498722351</v>
      </c>
      <c r="H27" s="453">
        <f t="shared" si="16"/>
        <v>30720.195498722351</v>
      </c>
      <c r="I27" s="473">
        <f t="shared" si="5"/>
        <v>0</v>
      </c>
      <c r="J27" s="473"/>
      <c r="K27" s="485"/>
      <c r="L27" s="476">
        <f t="shared" si="1"/>
        <v>0</v>
      </c>
      <c r="M27" s="485"/>
      <c r="N27" s="476">
        <f t="shared" si="3"/>
        <v>0</v>
      </c>
      <c r="O27" s="476">
        <f t="shared" si="4"/>
        <v>0</v>
      </c>
      <c r="P27" s="241"/>
    </row>
    <row r="28" spans="2:16">
      <c r="B28" s="160" t="str">
        <f t="shared" si="7"/>
        <v/>
      </c>
      <c r="C28" s="470">
        <f>IF(D11="","-",+C27+1)</f>
        <v>2029</v>
      </c>
      <c r="D28" s="481">
        <f>IF(F27+SUM(E$17:E27)=D$10,F27,D$10-SUM(E$17:E27))</f>
        <v>199457.42706587588</v>
      </c>
      <c r="E28" s="482">
        <f t="shared" si="13"/>
        <v>7601.5684210526324</v>
      </c>
      <c r="F28" s="483">
        <f t="shared" si="14"/>
        <v>191855.85864482325</v>
      </c>
      <c r="G28" s="484">
        <f t="shared" si="15"/>
        <v>29855.59168061275</v>
      </c>
      <c r="H28" s="453">
        <f t="shared" si="16"/>
        <v>29855.59168061275</v>
      </c>
      <c r="I28" s="473">
        <f t="shared" si="5"/>
        <v>0</v>
      </c>
      <c r="J28" s="473"/>
      <c r="K28" s="485"/>
      <c r="L28" s="476">
        <f t="shared" si="1"/>
        <v>0</v>
      </c>
      <c r="M28" s="485"/>
      <c r="N28" s="476">
        <f t="shared" si="3"/>
        <v>0</v>
      </c>
      <c r="O28" s="476">
        <f t="shared" si="4"/>
        <v>0</v>
      </c>
      <c r="P28" s="241"/>
    </row>
    <row r="29" spans="2:16">
      <c r="B29" s="160" t="str">
        <f t="shared" si="7"/>
        <v/>
      </c>
      <c r="C29" s="470">
        <f>IF(D11="","-",+C28+1)</f>
        <v>2030</v>
      </c>
      <c r="D29" s="481">
        <f>IF(F28+SUM(E$17:E28)=D$10,F28,D$10-SUM(E$17:E28))</f>
        <v>191855.85864482325</v>
      </c>
      <c r="E29" s="482">
        <f t="shared" si="13"/>
        <v>7601.5684210526324</v>
      </c>
      <c r="F29" s="483">
        <f t="shared" si="14"/>
        <v>184254.29022377063</v>
      </c>
      <c r="G29" s="484">
        <f t="shared" si="15"/>
        <v>28990.987862503142</v>
      </c>
      <c r="H29" s="453">
        <f t="shared" si="16"/>
        <v>28990.987862503142</v>
      </c>
      <c r="I29" s="473">
        <f t="shared" si="5"/>
        <v>0</v>
      </c>
      <c r="J29" s="473"/>
      <c r="K29" s="485"/>
      <c r="L29" s="476">
        <f t="shared" si="1"/>
        <v>0</v>
      </c>
      <c r="M29" s="485"/>
      <c r="N29" s="476">
        <f t="shared" si="3"/>
        <v>0</v>
      </c>
      <c r="O29" s="476">
        <f t="shared" si="4"/>
        <v>0</v>
      </c>
      <c r="P29" s="241"/>
    </row>
    <row r="30" spans="2:16">
      <c r="B30" s="160" t="str">
        <f t="shared" si="7"/>
        <v/>
      </c>
      <c r="C30" s="470">
        <f>IF(D11="","-",+C29+1)</f>
        <v>2031</v>
      </c>
      <c r="D30" s="481">
        <f>IF(F29+SUM(E$17:E29)=D$10,F29,D$10-SUM(E$17:E29))</f>
        <v>184254.29022377063</v>
      </c>
      <c r="E30" s="482">
        <f t="shared" si="13"/>
        <v>7601.5684210526324</v>
      </c>
      <c r="F30" s="483">
        <f t="shared" si="14"/>
        <v>176652.72180271801</v>
      </c>
      <c r="G30" s="484">
        <f t="shared" si="15"/>
        <v>28126.384044393533</v>
      </c>
      <c r="H30" s="453">
        <f t="shared" si="16"/>
        <v>28126.384044393533</v>
      </c>
      <c r="I30" s="473">
        <f t="shared" si="5"/>
        <v>0</v>
      </c>
      <c r="J30" s="473"/>
      <c r="K30" s="485"/>
      <c r="L30" s="476">
        <f t="shared" si="1"/>
        <v>0</v>
      </c>
      <c r="M30" s="485"/>
      <c r="N30" s="476">
        <f t="shared" si="3"/>
        <v>0</v>
      </c>
      <c r="O30" s="476">
        <f t="shared" si="4"/>
        <v>0</v>
      </c>
      <c r="P30" s="241"/>
    </row>
    <row r="31" spans="2:16">
      <c r="B31" s="160" t="str">
        <f t="shared" si="7"/>
        <v/>
      </c>
      <c r="C31" s="470">
        <f>IF(D11="","-",+C30+1)</f>
        <v>2032</v>
      </c>
      <c r="D31" s="481">
        <f>IF(F30+SUM(E$17:E30)=D$10,F30,D$10-SUM(E$17:E30))</f>
        <v>176652.72180271801</v>
      </c>
      <c r="E31" s="482">
        <f t="shared" si="13"/>
        <v>7601.5684210526324</v>
      </c>
      <c r="F31" s="483">
        <f t="shared" si="14"/>
        <v>169051.15338166538</v>
      </c>
      <c r="G31" s="484">
        <f t="shared" si="15"/>
        <v>27261.780226283925</v>
      </c>
      <c r="H31" s="453">
        <f t="shared" si="16"/>
        <v>27261.780226283925</v>
      </c>
      <c r="I31" s="473">
        <f t="shared" si="5"/>
        <v>0</v>
      </c>
      <c r="J31" s="473"/>
      <c r="K31" s="485"/>
      <c r="L31" s="476">
        <f t="shared" si="1"/>
        <v>0</v>
      </c>
      <c r="M31" s="485"/>
      <c r="N31" s="476">
        <f t="shared" si="3"/>
        <v>0</v>
      </c>
      <c r="O31" s="476">
        <f t="shared" si="4"/>
        <v>0</v>
      </c>
      <c r="P31" s="241"/>
    </row>
    <row r="32" spans="2:16">
      <c r="B32" s="160" t="str">
        <f t="shared" si="7"/>
        <v/>
      </c>
      <c r="C32" s="470">
        <f>IF(D11="","-",+C31+1)</f>
        <v>2033</v>
      </c>
      <c r="D32" s="481">
        <f>IF(F31+SUM(E$17:E31)=D$10,F31,D$10-SUM(E$17:E31))</f>
        <v>169051.15338166538</v>
      </c>
      <c r="E32" s="482">
        <f t="shared" si="13"/>
        <v>7601.5684210526324</v>
      </c>
      <c r="F32" s="483">
        <f t="shared" si="14"/>
        <v>161449.58496061276</v>
      </c>
      <c r="G32" s="484">
        <f t="shared" si="15"/>
        <v>26397.176408174324</v>
      </c>
      <c r="H32" s="453">
        <f t="shared" si="16"/>
        <v>26397.176408174324</v>
      </c>
      <c r="I32" s="473">
        <f t="shared" si="5"/>
        <v>0</v>
      </c>
      <c r="J32" s="473"/>
      <c r="K32" s="485"/>
      <c r="L32" s="476">
        <f t="shared" si="1"/>
        <v>0</v>
      </c>
      <c r="M32" s="485"/>
      <c r="N32" s="476">
        <f t="shared" si="3"/>
        <v>0</v>
      </c>
      <c r="O32" s="476">
        <f t="shared" si="4"/>
        <v>0</v>
      </c>
      <c r="P32" s="241"/>
    </row>
    <row r="33" spans="2:16">
      <c r="B33" s="160" t="str">
        <f t="shared" si="7"/>
        <v/>
      </c>
      <c r="C33" s="470">
        <f>IF(D11="","-",+C32+1)</f>
        <v>2034</v>
      </c>
      <c r="D33" s="481">
        <f>IF(F32+SUM(E$17:E32)=D$10,F32,D$10-SUM(E$17:E32))</f>
        <v>161449.58496061276</v>
      </c>
      <c r="E33" s="482">
        <f t="shared" si="13"/>
        <v>7601.5684210526324</v>
      </c>
      <c r="F33" s="483">
        <f t="shared" si="14"/>
        <v>153848.01653956014</v>
      </c>
      <c r="G33" s="484">
        <f t="shared" si="15"/>
        <v>25532.572590064716</v>
      </c>
      <c r="H33" s="453">
        <f t="shared" si="16"/>
        <v>25532.572590064716</v>
      </c>
      <c r="I33" s="473">
        <f t="shared" si="5"/>
        <v>0</v>
      </c>
      <c r="J33" s="473"/>
      <c r="K33" s="485"/>
      <c r="L33" s="476">
        <f t="shared" si="1"/>
        <v>0</v>
      </c>
      <c r="M33" s="485"/>
      <c r="N33" s="476">
        <f t="shared" si="3"/>
        <v>0</v>
      </c>
      <c r="O33" s="476">
        <f t="shared" si="4"/>
        <v>0</v>
      </c>
      <c r="P33" s="241"/>
    </row>
    <row r="34" spans="2:16">
      <c r="B34" s="160" t="str">
        <f t="shared" si="7"/>
        <v/>
      </c>
      <c r="C34" s="470">
        <f>IF(D11="","-",+C33+1)</f>
        <v>2035</v>
      </c>
      <c r="D34" s="481">
        <f>IF(F33+SUM(E$17:E33)=D$10,F33,D$10-SUM(E$17:E33))</f>
        <v>153848.01653956014</v>
      </c>
      <c r="E34" s="482">
        <f t="shared" si="13"/>
        <v>7601.5684210526324</v>
      </c>
      <c r="F34" s="483">
        <f t="shared" si="14"/>
        <v>146246.44811850751</v>
      </c>
      <c r="G34" s="484">
        <f t="shared" si="15"/>
        <v>24667.968771955115</v>
      </c>
      <c r="H34" s="453">
        <f t="shared" si="16"/>
        <v>24667.968771955115</v>
      </c>
      <c r="I34" s="473">
        <f t="shared" si="5"/>
        <v>0</v>
      </c>
      <c r="J34" s="473"/>
      <c r="K34" s="485"/>
      <c r="L34" s="476">
        <f t="shared" si="1"/>
        <v>0</v>
      </c>
      <c r="M34" s="485"/>
      <c r="N34" s="476">
        <f t="shared" si="3"/>
        <v>0</v>
      </c>
      <c r="O34" s="476">
        <f t="shared" si="4"/>
        <v>0</v>
      </c>
      <c r="P34" s="241"/>
    </row>
    <row r="35" spans="2:16">
      <c r="B35" s="160" t="str">
        <f t="shared" si="7"/>
        <v/>
      </c>
      <c r="C35" s="470">
        <f>IF(D11="","-",+C34+1)</f>
        <v>2036</v>
      </c>
      <c r="D35" s="481">
        <f>IF(F34+SUM(E$17:E34)=D$10,F34,D$10-SUM(E$17:E34))</f>
        <v>146246.44811850751</v>
      </c>
      <c r="E35" s="482">
        <f t="shared" si="13"/>
        <v>7601.5684210526324</v>
      </c>
      <c r="F35" s="483">
        <f t="shared" si="14"/>
        <v>138644.87969745489</v>
      </c>
      <c r="G35" s="484">
        <f t="shared" si="15"/>
        <v>23803.364953845507</v>
      </c>
      <c r="H35" s="453">
        <f t="shared" si="16"/>
        <v>23803.364953845507</v>
      </c>
      <c r="I35" s="473">
        <f t="shared" si="5"/>
        <v>0</v>
      </c>
      <c r="J35" s="473"/>
      <c r="K35" s="485"/>
      <c r="L35" s="476">
        <f t="shared" si="1"/>
        <v>0</v>
      </c>
      <c r="M35" s="485"/>
      <c r="N35" s="476">
        <f t="shared" si="3"/>
        <v>0</v>
      </c>
      <c r="O35" s="476">
        <f t="shared" si="4"/>
        <v>0</v>
      </c>
      <c r="P35" s="241"/>
    </row>
    <row r="36" spans="2:16">
      <c r="B36" s="160" t="str">
        <f t="shared" si="7"/>
        <v/>
      </c>
      <c r="C36" s="470">
        <f>IF(D11="","-",+C35+1)</f>
        <v>2037</v>
      </c>
      <c r="D36" s="481">
        <f>IF(F35+SUM(E$17:E35)=D$10,F35,D$10-SUM(E$17:E35))</f>
        <v>138644.87969745489</v>
      </c>
      <c r="E36" s="482">
        <f t="shared" si="13"/>
        <v>7601.5684210526324</v>
      </c>
      <c r="F36" s="483">
        <f t="shared" si="14"/>
        <v>131043.31127640225</v>
      </c>
      <c r="G36" s="484">
        <f t="shared" si="15"/>
        <v>22938.761135735898</v>
      </c>
      <c r="H36" s="453">
        <f t="shared" si="16"/>
        <v>22938.761135735898</v>
      </c>
      <c r="I36" s="473">
        <f t="shared" si="5"/>
        <v>0</v>
      </c>
      <c r="J36" s="473"/>
      <c r="K36" s="485"/>
      <c r="L36" s="476">
        <f t="shared" si="1"/>
        <v>0</v>
      </c>
      <c r="M36" s="485"/>
      <c r="N36" s="476">
        <f t="shared" si="3"/>
        <v>0</v>
      </c>
      <c r="O36" s="476">
        <f t="shared" si="4"/>
        <v>0</v>
      </c>
      <c r="P36" s="241"/>
    </row>
    <row r="37" spans="2:16">
      <c r="B37" s="160" t="str">
        <f t="shared" si="7"/>
        <v/>
      </c>
      <c r="C37" s="470">
        <f>IF(D11="","-",+C36+1)</f>
        <v>2038</v>
      </c>
      <c r="D37" s="481">
        <f>IF(F36+SUM(E$17:E36)=D$10,F36,D$10-SUM(E$17:E36))</f>
        <v>131043.31127640225</v>
      </c>
      <c r="E37" s="482">
        <f t="shared" si="13"/>
        <v>7601.5684210526324</v>
      </c>
      <c r="F37" s="483">
        <f t="shared" si="14"/>
        <v>123441.74285534961</v>
      </c>
      <c r="G37" s="484">
        <f t="shared" si="15"/>
        <v>22074.157317626294</v>
      </c>
      <c r="H37" s="453">
        <f t="shared" si="16"/>
        <v>22074.157317626294</v>
      </c>
      <c r="I37" s="473">
        <f t="shared" si="5"/>
        <v>0</v>
      </c>
      <c r="J37" s="473"/>
      <c r="K37" s="485"/>
      <c r="L37" s="476">
        <f t="shared" si="1"/>
        <v>0</v>
      </c>
      <c r="M37" s="485"/>
      <c r="N37" s="476">
        <f t="shared" si="3"/>
        <v>0</v>
      </c>
      <c r="O37" s="476">
        <f t="shared" si="4"/>
        <v>0</v>
      </c>
      <c r="P37" s="241"/>
    </row>
    <row r="38" spans="2:16">
      <c r="B38" s="160" t="str">
        <f t="shared" si="7"/>
        <v/>
      </c>
      <c r="C38" s="470">
        <f>IF(D11="","-",+C37+1)</f>
        <v>2039</v>
      </c>
      <c r="D38" s="481">
        <f>IF(F37+SUM(E$17:E37)=D$10,F37,D$10-SUM(E$17:E37))</f>
        <v>123441.74285534961</v>
      </c>
      <c r="E38" s="482">
        <f t="shared" si="13"/>
        <v>7601.5684210526324</v>
      </c>
      <c r="F38" s="483">
        <f t="shared" si="14"/>
        <v>115840.17443429698</v>
      </c>
      <c r="G38" s="484">
        <f t="shared" si="15"/>
        <v>21209.553499516682</v>
      </c>
      <c r="H38" s="453">
        <f t="shared" si="16"/>
        <v>21209.553499516682</v>
      </c>
      <c r="I38" s="473">
        <f t="shared" si="5"/>
        <v>0</v>
      </c>
      <c r="J38" s="473"/>
      <c r="K38" s="485"/>
      <c r="L38" s="476">
        <f t="shared" si="1"/>
        <v>0</v>
      </c>
      <c r="M38" s="485"/>
      <c r="N38" s="476">
        <f t="shared" si="3"/>
        <v>0</v>
      </c>
      <c r="O38" s="476">
        <f t="shared" si="4"/>
        <v>0</v>
      </c>
      <c r="P38" s="241"/>
    </row>
    <row r="39" spans="2:16">
      <c r="B39" s="160" t="str">
        <f t="shared" si="7"/>
        <v/>
      </c>
      <c r="C39" s="470">
        <f>IF(D11="","-",+C38+1)</f>
        <v>2040</v>
      </c>
      <c r="D39" s="481">
        <f>IF(F38+SUM(E$17:E38)=D$10,F38,D$10-SUM(E$17:E38))</f>
        <v>115840.17443429698</v>
      </c>
      <c r="E39" s="482">
        <f t="shared" si="13"/>
        <v>7601.5684210526324</v>
      </c>
      <c r="F39" s="483">
        <f t="shared" si="14"/>
        <v>108238.60601324434</v>
      </c>
      <c r="G39" s="484">
        <f t="shared" si="15"/>
        <v>20344.949681407081</v>
      </c>
      <c r="H39" s="453">
        <f t="shared" si="16"/>
        <v>20344.949681407081</v>
      </c>
      <c r="I39" s="473">
        <f t="shared" si="5"/>
        <v>0</v>
      </c>
      <c r="J39" s="473"/>
      <c r="K39" s="485"/>
      <c r="L39" s="476">
        <f t="shared" si="1"/>
        <v>0</v>
      </c>
      <c r="M39" s="485"/>
      <c r="N39" s="476">
        <f t="shared" si="3"/>
        <v>0</v>
      </c>
      <c r="O39" s="476">
        <f t="shared" si="4"/>
        <v>0</v>
      </c>
      <c r="P39" s="241"/>
    </row>
    <row r="40" spans="2:16">
      <c r="B40" s="160" t="str">
        <f t="shared" si="7"/>
        <v/>
      </c>
      <c r="C40" s="470">
        <f>IF(D11="","-",+C39+1)</f>
        <v>2041</v>
      </c>
      <c r="D40" s="481">
        <f>IF(F39+SUM(E$17:E39)=D$10,F39,D$10-SUM(E$17:E39))</f>
        <v>108238.60601324434</v>
      </c>
      <c r="E40" s="482">
        <f t="shared" si="13"/>
        <v>7601.5684210526324</v>
      </c>
      <c r="F40" s="483">
        <f t="shared" si="14"/>
        <v>100637.0375921917</v>
      </c>
      <c r="G40" s="484">
        <f t="shared" si="15"/>
        <v>19480.345863297469</v>
      </c>
      <c r="H40" s="453">
        <f t="shared" si="16"/>
        <v>19480.345863297469</v>
      </c>
      <c r="I40" s="473">
        <f t="shared" si="5"/>
        <v>0</v>
      </c>
      <c r="J40" s="473"/>
      <c r="K40" s="485"/>
      <c r="L40" s="476">
        <f t="shared" si="1"/>
        <v>0</v>
      </c>
      <c r="M40" s="485"/>
      <c r="N40" s="476">
        <f t="shared" si="3"/>
        <v>0</v>
      </c>
      <c r="O40" s="476">
        <f t="shared" si="4"/>
        <v>0</v>
      </c>
      <c r="P40" s="241"/>
    </row>
    <row r="41" spans="2:16">
      <c r="B41" s="160" t="str">
        <f t="shared" si="7"/>
        <v/>
      </c>
      <c r="C41" s="470">
        <f>IF(D11="","-",+C40+1)</f>
        <v>2042</v>
      </c>
      <c r="D41" s="481">
        <f>IF(F40+SUM(E$17:E40)=D$10,F40,D$10-SUM(E$17:E40))</f>
        <v>100637.0375921917</v>
      </c>
      <c r="E41" s="482">
        <f t="shared" si="13"/>
        <v>7601.5684210526324</v>
      </c>
      <c r="F41" s="483">
        <f t="shared" si="14"/>
        <v>93035.469171139062</v>
      </c>
      <c r="G41" s="484">
        <f t="shared" si="15"/>
        <v>18615.742045187864</v>
      </c>
      <c r="H41" s="453">
        <f t="shared" si="16"/>
        <v>18615.742045187864</v>
      </c>
      <c r="I41" s="473">
        <f t="shared" si="5"/>
        <v>0</v>
      </c>
      <c r="J41" s="473"/>
      <c r="K41" s="485"/>
      <c r="L41" s="476">
        <f t="shared" si="1"/>
        <v>0</v>
      </c>
      <c r="M41" s="485"/>
      <c r="N41" s="476">
        <f t="shared" si="3"/>
        <v>0</v>
      </c>
      <c r="O41" s="476">
        <f t="shared" si="4"/>
        <v>0</v>
      </c>
      <c r="P41" s="241"/>
    </row>
    <row r="42" spans="2:16">
      <c r="B42" s="160" t="str">
        <f t="shared" si="7"/>
        <v/>
      </c>
      <c r="C42" s="470">
        <f>IF(D11="","-",+C41+1)</f>
        <v>2043</v>
      </c>
      <c r="D42" s="481">
        <f>IF(F41+SUM(E$17:E41)=D$10,F41,D$10-SUM(E$17:E41))</f>
        <v>93035.469171139062</v>
      </c>
      <c r="E42" s="482">
        <f t="shared" si="13"/>
        <v>7601.5684210526324</v>
      </c>
      <c r="F42" s="483">
        <f t="shared" si="14"/>
        <v>85433.900750086425</v>
      </c>
      <c r="G42" s="484">
        <f t="shared" si="15"/>
        <v>17751.138227078256</v>
      </c>
      <c r="H42" s="453">
        <f t="shared" si="16"/>
        <v>17751.138227078256</v>
      </c>
      <c r="I42" s="473">
        <f t="shared" si="5"/>
        <v>0</v>
      </c>
      <c r="J42" s="473"/>
      <c r="K42" s="485"/>
      <c r="L42" s="476">
        <f t="shared" si="1"/>
        <v>0</v>
      </c>
      <c r="M42" s="485"/>
      <c r="N42" s="476">
        <f t="shared" si="3"/>
        <v>0</v>
      </c>
      <c r="O42" s="476">
        <f t="shared" si="4"/>
        <v>0</v>
      </c>
      <c r="P42" s="241"/>
    </row>
    <row r="43" spans="2:16">
      <c r="B43" s="160" t="str">
        <f t="shared" si="7"/>
        <v/>
      </c>
      <c r="C43" s="470">
        <f>IF(D11="","-",+C42+1)</f>
        <v>2044</v>
      </c>
      <c r="D43" s="481">
        <f>IF(F42+SUM(E$17:E42)=D$10,F42,D$10-SUM(E$17:E42))</f>
        <v>85433.900750086425</v>
      </c>
      <c r="E43" s="482">
        <f t="shared" si="13"/>
        <v>7601.5684210526324</v>
      </c>
      <c r="F43" s="483">
        <f t="shared" si="14"/>
        <v>77832.332329033787</v>
      </c>
      <c r="G43" s="484">
        <f t="shared" si="15"/>
        <v>16886.534408968648</v>
      </c>
      <c r="H43" s="453">
        <f t="shared" si="16"/>
        <v>16886.534408968648</v>
      </c>
      <c r="I43" s="473">
        <f t="shared" si="5"/>
        <v>0</v>
      </c>
      <c r="J43" s="473"/>
      <c r="K43" s="485"/>
      <c r="L43" s="476">
        <f t="shared" si="1"/>
        <v>0</v>
      </c>
      <c r="M43" s="485"/>
      <c r="N43" s="476">
        <f t="shared" si="3"/>
        <v>0</v>
      </c>
      <c r="O43" s="476">
        <f t="shared" si="4"/>
        <v>0</v>
      </c>
      <c r="P43" s="241"/>
    </row>
    <row r="44" spans="2:16">
      <c r="B44" s="160" t="str">
        <f t="shared" si="7"/>
        <v/>
      </c>
      <c r="C44" s="470">
        <f>IF(D11="","-",+C43+1)</f>
        <v>2045</v>
      </c>
      <c r="D44" s="481">
        <f>IF(F43+SUM(E$17:E43)=D$10,F43,D$10-SUM(E$17:E43))</f>
        <v>77832.332329033787</v>
      </c>
      <c r="E44" s="482">
        <f t="shared" si="13"/>
        <v>7601.5684210526324</v>
      </c>
      <c r="F44" s="483">
        <f t="shared" si="14"/>
        <v>70230.763907981149</v>
      </c>
      <c r="G44" s="484">
        <f t="shared" si="15"/>
        <v>16021.930590859041</v>
      </c>
      <c r="H44" s="453">
        <f t="shared" si="16"/>
        <v>16021.930590859041</v>
      </c>
      <c r="I44" s="473">
        <f t="shared" si="5"/>
        <v>0</v>
      </c>
      <c r="J44" s="473"/>
      <c r="K44" s="485"/>
      <c r="L44" s="476">
        <f t="shared" si="1"/>
        <v>0</v>
      </c>
      <c r="M44" s="485"/>
      <c r="N44" s="476">
        <f t="shared" si="3"/>
        <v>0</v>
      </c>
      <c r="O44" s="476">
        <f t="shared" si="4"/>
        <v>0</v>
      </c>
      <c r="P44" s="241"/>
    </row>
    <row r="45" spans="2:16">
      <c r="B45" s="160" t="str">
        <f t="shared" si="7"/>
        <v/>
      </c>
      <c r="C45" s="470">
        <f>IF(D11="","-",+C44+1)</f>
        <v>2046</v>
      </c>
      <c r="D45" s="481">
        <f>IF(F44+SUM(E$17:E44)=D$10,F44,D$10-SUM(E$17:E44))</f>
        <v>70230.763907981149</v>
      </c>
      <c r="E45" s="482">
        <f t="shared" si="13"/>
        <v>7601.5684210526324</v>
      </c>
      <c r="F45" s="483">
        <f t="shared" si="14"/>
        <v>62629.195486928518</v>
      </c>
      <c r="G45" s="484">
        <f t="shared" si="15"/>
        <v>15157.326772749435</v>
      </c>
      <c r="H45" s="453">
        <f t="shared" si="16"/>
        <v>15157.326772749435</v>
      </c>
      <c r="I45" s="473">
        <f t="shared" si="5"/>
        <v>0</v>
      </c>
      <c r="J45" s="473"/>
      <c r="K45" s="485"/>
      <c r="L45" s="476">
        <f t="shared" si="1"/>
        <v>0</v>
      </c>
      <c r="M45" s="485"/>
      <c r="N45" s="476">
        <f t="shared" si="3"/>
        <v>0</v>
      </c>
      <c r="O45" s="476">
        <f t="shared" si="4"/>
        <v>0</v>
      </c>
      <c r="P45" s="241"/>
    </row>
    <row r="46" spans="2:16">
      <c r="B46" s="160" t="str">
        <f t="shared" si="7"/>
        <v/>
      </c>
      <c r="C46" s="470">
        <f>IF(D11="","-",+C45+1)</f>
        <v>2047</v>
      </c>
      <c r="D46" s="481">
        <f>IF(F45+SUM(E$17:E45)=D$10,F45,D$10-SUM(E$17:E45))</f>
        <v>62629.195486928518</v>
      </c>
      <c r="E46" s="482">
        <f t="shared" si="13"/>
        <v>7601.5684210526324</v>
      </c>
      <c r="F46" s="483">
        <f t="shared" si="14"/>
        <v>55027.627065875888</v>
      </c>
      <c r="G46" s="484">
        <f t="shared" si="15"/>
        <v>14292.722954639827</v>
      </c>
      <c r="H46" s="453">
        <f t="shared" si="16"/>
        <v>14292.722954639827</v>
      </c>
      <c r="I46" s="473">
        <f t="shared" si="5"/>
        <v>0</v>
      </c>
      <c r="J46" s="473"/>
      <c r="K46" s="485"/>
      <c r="L46" s="476">
        <f t="shared" si="1"/>
        <v>0</v>
      </c>
      <c r="M46" s="485"/>
      <c r="N46" s="476">
        <f t="shared" si="3"/>
        <v>0</v>
      </c>
      <c r="O46" s="476">
        <f t="shared" si="4"/>
        <v>0</v>
      </c>
      <c r="P46" s="241"/>
    </row>
    <row r="47" spans="2:16">
      <c r="B47" s="160" t="str">
        <f t="shared" si="7"/>
        <v/>
      </c>
      <c r="C47" s="470">
        <f>IF(D11="","-",+C46+1)</f>
        <v>2048</v>
      </c>
      <c r="D47" s="481">
        <f>IF(F46+SUM(E$17:E46)=D$10,F46,D$10-SUM(E$17:E46))</f>
        <v>55027.627065875888</v>
      </c>
      <c r="E47" s="482">
        <f t="shared" si="13"/>
        <v>7601.5684210526324</v>
      </c>
      <c r="F47" s="483">
        <f t="shared" si="14"/>
        <v>47426.058644823257</v>
      </c>
      <c r="G47" s="484">
        <f t="shared" si="15"/>
        <v>13428.119136530222</v>
      </c>
      <c r="H47" s="453">
        <f t="shared" si="16"/>
        <v>13428.119136530222</v>
      </c>
      <c r="I47" s="473">
        <f t="shared" si="5"/>
        <v>0</v>
      </c>
      <c r="J47" s="473"/>
      <c r="K47" s="485"/>
      <c r="L47" s="476">
        <f t="shared" si="1"/>
        <v>0</v>
      </c>
      <c r="M47" s="485"/>
      <c r="N47" s="476">
        <f t="shared" si="3"/>
        <v>0</v>
      </c>
      <c r="O47" s="476">
        <f t="shared" si="4"/>
        <v>0</v>
      </c>
      <c r="P47" s="241"/>
    </row>
    <row r="48" spans="2:16">
      <c r="B48" s="160" t="str">
        <f t="shared" si="7"/>
        <v/>
      </c>
      <c r="C48" s="470">
        <f>IF(D11="","-",+C47+1)</f>
        <v>2049</v>
      </c>
      <c r="D48" s="481">
        <f>IF(F47+SUM(E$17:E47)=D$10,F47,D$10-SUM(E$17:E47))</f>
        <v>47426.058644823257</v>
      </c>
      <c r="E48" s="482">
        <f t="shared" si="13"/>
        <v>7601.5684210526324</v>
      </c>
      <c r="F48" s="483">
        <f t="shared" si="14"/>
        <v>39824.490223770626</v>
      </c>
      <c r="G48" s="484">
        <f t="shared" si="15"/>
        <v>12563.515318420614</v>
      </c>
      <c r="H48" s="453">
        <f t="shared" si="16"/>
        <v>12563.515318420614</v>
      </c>
      <c r="I48" s="473">
        <f t="shared" si="5"/>
        <v>0</v>
      </c>
      <c r="J48" s="473"/>
      <c r="K48" s="485"/>
      <c r="L48" s="476">
        <f t="shared" si="1"/>
        <v>0</v>
      </c>
      <c r="M48" s="485"/>
      <c r="N48" s="476">
        <f t="shared" si="3"/>
        <v>0</v>
      </c>
      <c r="O48" s="476">
        <f t="shared" si="4"/>
        <v>0</v>
      </c>
      <c r="P48" s="241"/>
    </row>
    <row r="49" spans="2:16">
      <c r="B49" s="160" t="str">
        <f t="shared" si="7"/>
        <v/>
      </c>
      <c r="C49" s="470">
        <f>IF(D11="","-",+C48+1)</f>
        <v>2050</v>
      </c>
      <c r="D49" s="481">
        <f>IF(F48+SUM(E$17:E48)=D$10,F48,D$10-SUM(E$17:E48))</f>
        <v>39824.490223770626</v>
      </c>
      <c r="E49" s="482">
        <f t="shared" si="13"/>
        <v>7601.5684210526324</v>
      </c>
      <c r="F49" s="483">
        <f t="shared" si="14"/>
        <v>32222.921802717996</v>
      </c>
      <c r="G49" s="484">
        <f t="shared" si="15"/>
        <v>11698.911500311009</v>
      </c>
      <c r="H49" s="453">
        <f t="shared" si="16"/>
        <v>11698.911500311009</v>
      </c>
      <c r="I49" s="473">
        <f t="shared" si="5"/>
        <v>0</v>
      </c>
      <c r="J49" s="473"/>
      <c r="K49" s="485"/>
      <c r="L49" s="476">
        <f t="shared" si="1"/>
        <v>0</v>
      </c>
      <c r="M49" s="485"/>
      <c r="N49" s="476">
        <f t="shared" si="3"/>
        <v>0</v>
      </c>
      <c r="O49" s="476">
        <f t="shared" si="4"/>
        <v>0</v>
      </c>
      <c r="P49" s="241"/>
    </row>
    <row r="50" spans="2:16">
      <c r="B50" s="160" t="str">
        <f t="shared" si="7"/>
        <v/>
      </c>
      <c r="C50" s="470">
        <f>IF(D11="","-",+C49+1)</f>
        <v>2051</v>
      </c>
      <c r="D50" s="481">
        <f>IF(F49+SUM(E$17:E49)=D$10,F49,D$10-SUM(E$17:E49))</f>
        <v>32222.921802717996</v>
      </c>
      <c r="E50" s="482">
        <f t="shared" si="13"/>
        <v>7601.5684210526324</v>
      </c>
      <c r="F50" s="483">
        <f t="shared" si="14"/>
        <v>24621.353381665365</v>
      </c>
      <c r="G50" s="484">
        <f t="shared" si="15"/>
        <v>10834.307682201403</v>
      </c>
      <c r="H50" s="453">
        <f t="shared" si="16"/>
        <v>10834.307682201403</v>
      </c>
      <c r="I50" s="473">
        <f t="shared" si="5"/>
        <v>0</v>
      </c>
      <c r="J50" s="473"/>
      <c r="K50" s="485"/>
      <c r="L50" s="476">
        <f t="shared" si="1"/>
        <v>0</v>
      </c>
      <c r="M50" s="485"/>
      <c r="N50" s="476">
        <f t="shared" si="3"/>
        <v>0</v>
      </c>
      <c r="O50" s="476">
        <f t="shared" si="4"/>
        <v>0</v>
      </c>
      <c r="P50" s="241"/>
    </row>
    <row r="51" spans="2:16">
      <c r="B51" s="160" t="str">
        <f t="shared" si="7"/>
        <v/>
      </c>
      <c r="C51" s="470">
        <f>IF(D11="","-",+C50+1)</f>
        <v>2052</v>
      </c>
      <c r="D51" s="481">
        <f>IF(F50+SUM(E$17:E50)=D$10,F50,D$10-SUM(E$17:E50))</f>
        <v>24621.353381665365</v>
      </c>
      <c r="E51" s="482">
        <f t="shared" si="13"/>
        <v>7601.5684210526324</v>
      </c>
      <c r="F51" s="483">
        <f t="shared" si="14"/>
        <v>17019.784960612735</v>
      </c>
      <c r="G51" s="484">
        <f t="shared" si="15"/>
        <v>9969.7038640917963</v>
      </c>
      <c r="H51" s="453">
        <f t="shared" si="16"/>
        <v>9969.7038640917963</v>
      </c>
      <c r="I51" s="473">
        <f t="shared" si="5"/>
        <v>0</v>
      </c>
      <c r="J51" s="473"/>
      <c r="K51" s="485"/>
      <c r="L51" s="476">
        <f t="shared" si="1"/>
        <v>0</v>
      </c>
      <c r="M51" s="485"/>
      <c r="N51" s="476">
        <f t="shared" si="3"/>
        <v>0</v>
      </c>
      <c r="O51" s="476">
        <f t="shared" si="4"/>
        <v>0</v>
      </c>
      <c r="P51" s="241"/>
    </row>
    <row r="52" spans="2:16">
      <c r="B52" s="160" t="str">
        <f t="shared" si="7"/>
        <v/>
      </c>
      <c r="C52" s="470">
        <f>IF(D11="","-",+C51+1)</f>
        <v>2053</v>
      </c>
      <c r="D52" s="481">
        <f>IF(F51+SUM(E$17:E51)=D$10,F51,D$10-SUM(E$17:E51))</f>
        <v>17019.784960612735</v>
      </c>
      <c r="E52" s="482">
        <f t="shared" si="13"/>
        <v>7601.5684210526324</v>
      </c>
      <c r="F52" s="483">
        <f t="shared" si="14"/>
        <v>9418.2165395601023</v>
      </c>
      <c r="G52" s="484">
        <f t="shared" si="15"/>
        <v>9105.1000459821898</v>
      </c>
      <c r="H52" s="453">
        <f t="shared" si="16"/>
        <v>9105.1000459821898</v>
      </c>
      <c r="I52" s="473">
        <f t="shared" si="5"/>
        <v>0</v>
      </c>
      <c r="J52" s="473"/>
      <c r="K52" s="485"/>
      <c r="L52" s="476">
        <f t="shared" si="1"/>
        <v>0</v>
      </c>
      <c r="M52" s="485"/>
      <c r="N52" s="476">
        <f t="shared" si="3"/>
        <v>0</v>
      </c>
      <c r="O52" s="476">
        <f t="shared" si="4"/>
        <v>0</v>
      </c>
      <c r="P52" s="241"/>
    </row>
    <row r="53" spans="2:16">
      <c r="B53" s="160" t="str">
        <f t="shared" si="7"/>
        <v/>
      </c>
      <c r="C53" s="470">
        <f>IF(D11="","-",+C52+1)</f>
        <v>2054</v>
      </c>
      <c r="D53" s="481">
        <f>IF(F52+SUM(E$17:E52)=D$10,F52,D$10-SUM(E$17:E52))</f>
        <v>9418.2165395601023</v>
      </c>
      <c r="E53" s="482">
        <f t="shared" si="13"/>
        <v>7601.5684210526324</v>
      </c>
      <c r="F53" s="483">
        <f t="shared" si="14"/>
        <v>1816.6481185074699</v>
      </c>
      <c r="G53" s="484">
        <f t="shared" si="15"/>
        <v>8240.4962278725834</v>
      </c>
      <c r="H53" s="453">
        <f t="shared" si="16"/>
        <v>8240.4962278725834</v>
      </c>
      <c r="I53" s="473">
        <f t="shared" si="5"/>
        <v>0</v>
      </c>
      <c r="J53" s="473"/>
      <c r="K53" s="485"/>
      <c r="L53" s="476">
        <f t="shared" si="1"/>
        <v>0</v>
      </c>
      <c r="M53" s="485"/>
      <c r="N53" s="476">
        <f t="shared" si="3"/>
        <v>0</v>
      </c>
      <c r="O53" s="476">
        <f t="shared" si="4"/>
        <v>0</v>
      </c>
      <c r="P53" s="241"/>
    </row>
    <row r="54" spans="2:16">
      <c r="B54" s="160" t="str">
        <f t="shared" si="7"/>
        <v/>
      </c>
      <c r="C54" s="470">
        <f>IF(D11="","-",+C53+1)</f>
        <v>2055</v>
      </c>
      <c r="D54" s="481">
        <f>IF(F53+SUM(E$17:E53)=D$10,F53,D$10-SUM(E$17:E53))</f>
        <v>1816.6481185074699</v>
      </c>
      <c r="E54" s="482">
        <f t="shared" si="13"/>
        <v>1816.6481185074699</v>
      </c>
      <c r="F54" s="483">
        <f t="shared" si="14"/>
        <v>0</v>
      </c>
      <c r="G54" s="484">
        <f t="shared" si="15"/>
        <v>1919.9610673900434</v>
      </c>
      <c r="H54" s="453">
        <f t="shared" si="16"/>
        <v>1919.9610673900434</v>
      </c>
      <c r="I54" s="473">
        <f t="shared" si="5"/>
        <v>0</v>
      </c>
      <c r="J54" s="473"/>
      <c r="K54" s="485"/>
      <c r="L54" s="476">
        <f t="shared" si="1"/>
        <v>0</v>
      </c>
      <c r="M54" s="485"/>
      <c r="N54" s="476">
        <f t="shared" si="3"/>
        <v>0</v>
      </c>
      <c r="O54" s="476">
        <f t="shared" si="4"/>
        <v>0</v>
      </c>
      <c r="P54" s="241"/>
    </row>
    <row r="55" spans="2:16">
      <c r="B55" s="160" t="str">
        <f t="shared" si="7"/>
        <v/>
      </c>
      <c r="C55" s="470">
        <f>IF(D11="","-",+C54+1)</f>
        <v>2056</v>
      </c>
      <c r="D55" s="481">
        <f>IF(F54+SUM(E$17:E54)=D$10,F54,D$10-SUM(E$17:E54))</f>
        <v>0</v>
      </c>
      <c r="E55" s="482">
        <f t="shared" si="13"/>
        <v>0</v>
      </c>
      <c r="F55" s="483">
        <f t="shared" si="14"/>
        <v>0</v>
      </c>
      <c r="G55" s="484">
        <f t="shared" si="15"/>
        <v>0</v>
      </c>
      <c r="H55" s="453">
        <f t="shared" si="16"/>
        <v>0</v>
      </c>
      <c r="I55" s="473">
        <f t="shared" si="5"/>
        <v>0</v>
      </c>
      <c r="J55" s="473"/>
      <c r="K55" s="485"/>
      <c r="L55" s="476">
        <f t="shared" si="1"/>
        <v>0</v>
      </c>
      <c r="M55" s="485"/>
      <c r="N55" s="476">
        <f t="shared" si="3"/>
        <v>0</v>
      </c>
      <c r="O55" s="476">
        <f t="shared" si="4"/>
        <v>0</v>
      </c>
      <c r="P55" s="241"/>
    </row>
    <row r="56" spans="2:16">
      <c r="B56" s="160" t="str">
        <f t="shared" si="7"/>
        <v/>
      </c>
      <c r="C56" s="470">
        <f>IF(D11="","-",+C55+1)</f>
        <v>2057</v>
      </c>
      <c r="D56" s="481">
        <f>IF(F55+SUM(E$17:E55)=D$10,F55,D$10-SUM(E$17:E55))</f>
        <v>0</v>
      </c>
      <c r="E56" s="482">
        <f t="shared" si="13"/>
        <v>0</v>
      </c>
      <c r="F56" s="483">
        <f t="shared" si="14"/>
        <v>0</v>
      </c>
      <c r="G56" s="484">
        <f t="shared" si="15"/>
        <v>0</v>
      </c>
      <c r="H56" s="453">
        <f t="shared" si="16"/>
        <v>0</v>
      </c>
      <c r="I56" s="473">
        <f t="shared" si="5"/>
        <v>0</v>
      </c>
      <c r="J56" s="473"/>
      <c r="K56" s="485"/>
      <c r="L56" s="476">
        <f t="shared" si="1"/>
        <v>0</v>
      </c>
      <c r="M56" s="485"/>
      <c r="N56" s="476">
        <f t="shared" si="3"/>
        <v>0</v>
      </c>
      <c r="O56" s="476">
        <f t="shared" si="4"/>
        <v>0</v>
      </c>
      <c r="P56" s="241"/>
    </row>
    <row r="57" spans="2:16">
      <c r="B57" s="160" t="str">
        <f t="shared" si="7"/>
        <v/>
      </c>
      <c r="C57" s="470">
        <f>IF(D11="","-",+C56+1)</f>
        <v>2058</v>
      </c>
      <c r="D57" s="481">
        <f>IF(F56+SUM(E$17:E56)=D$10,F56,D$10-SUM(E$17:E56))</f>
        <v>0</v>
      </c>
      <c r="E57" s="482">
        <f t="shared" si="13"/>
        <v>0</v>
      </c>
      <c r="F57" s="483">
        <f t="shared" si="14"/>
        <v>0</v>
      </c>
      <c r="G57" s="484">
        <f t="shared" si="15"/>
        <v>0</v>
      </c>
      <c r="H57" s="453">
        <f t="shared" si="16"/>
        <v>0</v>
      </c>
      <c r="I57" s="473">
        <f t="shared" si="5"/>
        <v>0</v>
      </c>
      <c r="J57" s="473"/>
      <c r="K57" s="485"/>
      <c r="L57" s="476">
        <f t="shared" si="1"/>
        <v>0</v>
      </c>
      <c r="M57" s="485"/>
      <c r="N57" s="476">
        <f t="shared" si="3"/>
        <v>0</v>
      </c>
      <c r="O57" s="476">
        <f t="shared" si="4"/>
        <v>0</v>
      </c>
      <c r="P57" s="241"/>
    </row>
    <row r="58" spans="2:16">
      <c r="B58" s="160" t="str">
        <f t="shared" si="7"/>
        <v/>
      </c>
      <c r="C58" s="470">
        <f>IF(D11="","-",+C57+1)</f>
        <v>2059</v>
      </c>
      <c r="D58" s="481">
        <f>IF(F57+SUM(E$17:E57)=D$10,F57,D$10-SUM(E$17:E57))</f>
        <v>0</v>
      </c>
      <c r="E58" s="482">
        <f t="shared" si="13"/>
        <v>0</v>
      </c>
      <c r="F58" s="483">
        <f t="shared" si="14"/>
        <v>0</v>
      </c>
      <c r="G58" s="484">
        <f t="shared" si="15"/>
        <v>0</v>
      </c>
      <c r="H58" s="453">
        <f t="shared" si="16"/>
        <v>0</v>
      </c>
      <c r="I58" s="473">
        <f t="shared" si="5"/>
        <v>0</v>
      </c>
      <c r="J58" s="473"/>
      <c r="K58" s="485"/>
      <c r="L58" s="476">
        <f t="shared" si="1"/>
        <v>0</v>
      </c>
      <c r="M58" s="485"/>
      <c r="N58" s="476">
        <f t="shared" si="3"/>
        <v>0</v>
      </c>
      <c r="O58" s="476">
        <f t="shared" si="4"/>
        <v>0</v>
      </c>
      <c r="P58" s="241"/>
    </row>
    <row r="59" spans="2:16">
      <c r="B59" s="160" t="str">
        <f t="shared" si="7"/>
        <v/>
      </c>
      <c r="C59" s="470">
        <f>IF(D11="","-",+C58+1)</f>
        <v>2060</v>
      </c>
      <c r="D59" s="481">
        <f>IF(F58+SUM(E$17:E58)=D$10,F58,D$10-SUM(E$17:E58))</f>
        <v>0</v>
      </c>
      <c r="E59" s="482">
        <f t="shared" si="13"/>
        <v>0</v>
      </c>
      <c r="F59" s="483">
        <f t="shared" si="14"/>
        <v>0</v>
      </c>
      <c r="G59" s="484">
        <f t="shared" si="15"/>
        <v>0</v>
      </c>
      <c r="H59" s="453">
        <f t="shared" si="16"/>
        <v>0</v>
      </c>
      <c r="I59" s="473">
        <f t="shared" si="5"/>
        <v>0</v>
      </c>
      <c r="J59" s="473"/>
      <c r="K59" s="485"/>
      <c r="L59" s="476">
        <f t="shared" si="1"/>
        <v>0</v>
      </c>
      <c r="M59" s="485"/>
      <c r="N59" s="476">
        <f t="shared" si="3"/>
        <v>0</v>
      </c>
      <c r="O59" s="476">
        <f t="shared" si="4"/>
        <v>0</v>
      </c>
      <c r="P59" s="241"/>
    </row>
    <row r="60" spans="2:16">
      <c r="B60" s="160" t="str">
        <f t="shared" si="7"/>
        <v/>
      </c>
      <c r="C60" s="470">
        <f>IF(D11="","-",+C59+1)</f>
        <v>2061</v>
      </c>
      <c r="D60" s="481">
        <f>IF(F59+SUM(E$17:E59)=D$10,F59,D$10-SUM(E$17:E59))</f>
        <v>0</v>
      </c>
      <c r="E60" s="482">
        <f t="shared" si="13"/>
        <v>0</v>
      </c>
      <c r="F60" s="483">
        <f t="shared" si="14"/>
        <v>0</v>
      </c>
      <c r="G60" s="484">
        <f t="shared" si="15"/>
        <v>0</v>
      </c>
      <c r="H60" s="453">
        <f t="shared" si="16"/>
        <v>0</v>
      </c>
      <c r="I60" s="473">
        <f t="shared" si="5"/>
        <v>0</v>
      </c>
      <c r="J60" s="473"/>
      <c r="K60" s="485"/>
      <c r="L60" s="476">
        <f t="shared" si="1"/>
        <v>0</v>
      </c>
      <c r="M60" s="485"/>
      <c r="N60" s="476">
        <f t="shared" si="3"/>
        <v>0</v>
      </c>
      <c r="O60" s="476">
        <f t="shared" si="4"/>
        <v>0</v>
      </c>
      <c r="P60" s="241"/>
    </row>
    <row r="61" spans="2:16">
      <c r="B61" s="160" t="str">
        <f t="shared" si="7"/>
        <v/>
      </c>
      <c r="C61" s="470">
        <f>IF(D11="","-",+C60+1)</f>
        <v>2062</v>
      </c>
      <c r="D61" s="481">
        <f>IF(F60+SUM(E$17:E60)=D$10,F60,D$10-SUM(E$17:E60))</f>
        <v>0</v>
      </c>
      <c r="E61" s="482">
        <f t="shared" si="13"/>
        <v>0</v>
      </c>
      <c r="F61" s="483">
        <f t="shared" si="14"/>
        <v>0</v>
      </c>
      <c r="G61" s="484">
        <f t="shared" si="15"/>
        <v>0</v>
      </c>
      <c r="H61" s="453">
        <f t="shared" si="16"/>
        <v>0</v>
      </c>
      <c r="I61" s="473">
        <f t="shared" si="5"/>
        <v>0</v>
      </c>
      <c r="J61" s="473"/>
      <c r="K61" s="485"/>
      <c r="L61" s="476">
        <f t="shared" si="1"/>
        <v>0</v>
      </c>
      <c r="M61" s="485"/>
      <c r="N61" s="476">
        <f t="shared" si="3"/>
        <v>0</v>
      </c>
      <c r="O61" s="476">
        <f t="shared" si="4"/>
        <v>0</v>
      </c>
      <c r="P61" s="241"/>
    </row>
    <row r="62" spans="2:16">
      <c r="B62" s="160" t="str">
        <f t="shared" si="7"/>
        <v/>
      </c>
      <c r="C62" s="470">
        <f>IF(D11="","-",+C61+1)</f>
        <v>2063</v>
      </c>
      <c r="D62" s="481">
        <f>IF(F61+SUM(E$17:E61)=D$10,F61,D$10-SUM(E$17:E61))</f>
        <v>0</v>
      </c>
      <c r="E62" s="482">
        <f t="shared" si="13"/>
        <v>0</v>
      </c>
      <c r="F62" s="483">
        <f t="shared" si="14"/>
        <v>0</v>
      </c>
      <c r="G62" s="484">
        <f t="shared" si="15"/>
        <v>0</v>
      </c>
      <c r="H62" s="453">
        <f t="shared" si="16"/>
        <v>0</v>
      </c>
      <c r="I62" s="473">
        <f t="shared" si="5"/>
        <v>0</v>
      </c>
      <c r="J62" s="473"/>
      <c r="K62" s="485"/>
      <c r="L62" s="476">
        <f t="shared" si="1"/>
        <v>0</v>
      </c>
      <c r="M62" s="485"/>
      <c r="N62" s="476">
        <f t="shared" si="3"/>
        <v>0</v>
      </c>
      <c r="O62" s="476">
        <f t="shared" si="4"/>
        <v>0</v>
      </c>
      <c r="P62" s="241"/>
    </row>
    <row r="63" spans="2:16">
      <c r="B63" s="160" t="str">
        <f t="shared" si="7"/>
        <v/>
      </c>
      <c r="C63" s="470">
        <f>IF(D11="","-",+C62+1)</f>
        <v>2064</v>
      </c>
      <c r="D63" s="481">
        <f>IF(F62+SUM(E$17:E62)=D$10,F62,D$10-SUM(E$17:E62))</f>
        <v>0</v>
      </c>
      <c r="E63" s="482">
        <f t="shared" si="13"/>
        <v>0</v>
      </c>
      <c r="F63" s="483">
        <f t="shared" si="14"/>
        <v>0</v>
      </c>
      <c r="G63" s="484">
        <f t="shared" si="15"/>
        <v>0</v>
      </c>
      <c r="H63" s="453">
        <f t="shared" si="16"/>
        <v>0</v>
      </c>
      <c r="I63" s="473">
        <f t="shared" si="5"/>
        <v>0</v>
      </c>
      <c r="J63" s="473"/>
      <c r="K63" s="485"/>
      <c r="L63" s="476">
        <f t="shared" si="1"/>
        <v>0</v>
      </c>
      <c r="M63" s="485"/>
      <c r="N63" s="476">
        <f t="shared" si="3"/>
        <v>0</v>
      </c>
      <c r="O63" s="476">
        <f t="shared" si="4"/>
        <v>0</v>
      </c>
      <c r="P63" s="241"/>
    </row>
    <row r="64" spans="2:16">
      <c r="B64" s="160" t="str">
        <f t="shared" si="7"/>
        <v/>
      </c>
      <c r="C64" s="470">
        <f>IF(D11="","-",+C63+1)</f>
        <v>2065</v>
      </c>
      <c r="D64" s="481">
        <f>IF(F63+SUM(E$17:E63)=D$10,F63,D$10-SUM(E$17:E63))</f>
        <v>0</v>
      </c>
      <c r="E64" s="482">
        <f t="shared" si="13"/>
        <v>0</v>
      </c>
      <c r="F64" s="483">
        <f t="shared" si="14"/>
        <v>0</v>
      </c>
      <c r="G64" s="484">
        <f t="shared" si="15"/>
        <v>0</v>
      </c>
      <c r="H64" s="453">
        <f t="shared" si="16"/>
        <v>0</v>
      </c>
      <c r="I64" s="473">
        <f t="shared" si="5"/>
        <v>0</v>
      </c>
      <c r="J64" s="473"/>
      <c r="K64" s="485"/>
      <c r="L64" s="476">
        <f t="shared" si="1"/>
        <v>0</v>
      </c>
      <c r="M64" s="485"/>
      <c r="N64" s="476">
        <f t="shared" si="3"/>
        <v>0</v>
      </c>
      <c r="O64" s="476">
        <f t="shared" si="4"/>
        <v>0</v>
      </c>
      <c r="P64" s="241"/>
    </row>
    <row r="65" spans="2:16">
      <c r="B65" s="160" t="str">
        <f t="shared" si="7"/>
        <v/>
      </c>
      <c r="C65" s="470">
        <f>IF(D11="","-",+C64+1)</f>
        <v>2066</v>
      </c>
      <c r="D65" s="481">
        <f>IF(F64+SUM(E$17:E64)=D$10,F64,D$10-SUM(E$17:E64))</f>
        <v>0</v>
      </c>
      <c r="E65" s="482">
        <f t="shared" si="13"/>
        <v>0</v>
      </c>
      <c r="F65" s="483">
        <f t="shared" si="14"/>
        <v>0</v>
      </c>
      <c r="G65" s="484">
        <f t="shared" si="15"/>
        <v>0</v>
      </c>
      <c r="H65" s="453">
        <f t="shared" si="16"/>
        <v>0</v>
      </c>
      <c r="I65" s="473">
        <f t="shared" si="5"/>
        <v>0</v>
      </c>
      <c r="J65" s="473"/>
      <c r="K65" s="485"/>
      <c r="L65" s="476">
        <f t="shared" si="1"/>
        <v>0</v>
      </c>
      <c r="M65" s="485"/>
      <c r="N65" s="476">
        <f t="shared" si="3"/>
        <v>0</v>
      </c>
      <c r="O65" s="476">
        <f t="shared" si="4"/>
        <v>0</v>
      </c>
      <c r="P65" s="241"/>
    </row>
    <row r="66" spans="2:16">
      <c r="B66" s="160" t="str">
        <f t="shared" si="7"/>
        <v/>
      </c>
      <c r="C66" s="470">
        <f>IF(D11="","-",+C65+1)</f>
        <v>2067</v>
      </c>
      <c r="D66" s="481">
        <f>IF(F65+SUM(E$17:E65)=D$10,F65,D$10-SUM(E$17:E65))</f>
        <v>0</v>
      </c>
      <c r="E66" s="482">
        <f t="shared" si="13"/>
        <v>0</v>
      </c>
      <c r="F66" s="483">
        <f t="shared" si="14"/>
        <v>0</v>
      </c>
      <c r="G66" s="484">
        <f t="shared" si="15"/>
        <v>0</v>
      </c>
      <c r="H66" s="453">
        <f t="shared" si="16"/>
        <v>0</v>
      </c>
      <c r="I66" s="473">
        <f t="shared" si="5"/>
        <v>0</v>
      </c>
      <c r="J66" s="473"/>
      <c r="K66" s="485"/>
      <c r="L66" s="476">
        <f t="shared" si="1"/>
        <v>0</v>
      </c>
      <c r="M66" s="485"/>
      <c r="N66" s="476">
        <f t="shared" si="3"/>
        <v>0</v>
      </c>
      <c r="O66" s="476">
        <f t="shared" si="4"/>
        <v>0</v>
      </c>
      <c r="P66" s="241"/>
    </row>
    <row r="67" spans="2:16">
      <c r="B67" s="160" t="str">
        <f t="shared" si="7"/>
        <v/>
      </c>
      <c r="C67" s="470">
        <f>IF(D11="","-",+C66+1)</f>
        <v>2068</v>
      </c>
      <c r="D67" s="481">
        <f>IF(F66+SUM(E$17:E66)=D$10,F66,D$10-SUM(E$17:E66))</f>
        <v>0</v>
      </c>
      <c r="E67" s="482">
        <f t="shared" si="13"/>
        <v>0</v>
      </c>
      <c r="F67" s="483">
        <f t="shared" si="14"/>
        <v>0</v>
      </c>
      <c r="G67" s="484">
        <f t="shared" si="15"/>
        <v>0</v>
      </c>
      <c r="H67" s="453">
        <f t="shared" si="16"/>
        <v>0</v>
      </c>
      <c r="I67" s="473">
        <f t="shared" si="5"/>
        <v>0</v>
      </c>
      <c r="J67" s="473"/>
      <c r="K67" s="485"/>
      <c r="L67" s="476">
        <f t="shared" si="1"/>
        <v>0</v>
      </c>
      <c r="M67" s="485"/>
      <c r="N67" s="476">
        <f t="shared" si="3"/>
        <v>0</v>
      </c>
      <c r="O67" s="476">
        <f t="shared" si="4"/>
        <v>0</v>
      </c>
      <c r="P67" s="241"/>
    </row>
    <row r="68" spans="2:16">
      <c r="B68" s="160" t="str">
        <f t="shared" si="7"/>
        <v/>
      </c>
      <c r="C68" s="470">
        <f>IF(D11="","-",+C67+1)</f>
        <v>2069</v>
      </c>
      <c r="D68" s="481">
        <f>IF(F67+SUM(E$17:E67)=D$10,F67,D$10-SUM(E$17:E67))</f>
        <v>0</v>
      </c>
      <c r="E68" s="482">
        <f t="shared" si="13"/>
        <v>0</v>
      </c>
      <c r="F68" s="483">
        <f t="shared" si="14"/>
        <v>0</v>
      </c>
      <c r="G68" s="484">
        <f t="shared" si="15"/>
        <v>0</v>
      </c>
      <c r="H68" s="453">
        <f t="shared" si="16"/>
        <v>0</v>
      </c>
      <c r="I68" s="473">
        <f t="shared" si="5"/>
        <v>0</v>
      </c>
      <c r="J68" s="473"/>
      <c r="K68" s="485"/>
      <c r="L68" s="476">
        <f t="shared" si="1"/>
        <v>0</v>
      </c>
      <c r="M68" s="485"/>
      <c r="N68" s="476">
        <f t="shared" si="3"/>
        <v>0</v>
      </c>
      <c r="O68" s="476">
        <f t="shared" si="4"/>
        <v>0</v>
      </c>
      <c r="P68" s="241"/>
    </row>
    <row r="69" spans="2:16">
      <c r="B69" s="160" t="str">
        <f t="shared" si="7"/>
        <v/>
      </c>
      <c r="C69" s="470">
        <f>IF(D11="","-",+C68+1)</f>
        <v>2070</v>
      </c>
      <c r="D69" s="481">
        <f>IF(F68+SUM(E$17:E68)=D$10,F68,D$10-SUM(E$17:E68))</f>
        <v>0</v>
      </c>
      <c r="E69" s="482">
        <f t="shared" si="13"/>
        <v>0</v>
      </c>
      <c r="F69" s="483">
        <f t="shared" si="14"/>
        <v>0</v>
      </c>
      <c r="G69" s="484">
        <f t="shared" si="15"/>
        <v>0</v>
      </c>
      <c r="H69" s="453">
        <f t="shared" si="16"/>
        <v>0</v>
      </c>
      <c r="I69" s="473">
        <f t="shared" si="5"/>
        <v>0</v>
      </c>
      <c r="J69" s="473"/>
      <c r="K69" s="485"/>
      <c r="L69" s="476">
        <f t="shared" si="1"/>
        <v>0</v>
      </c>
      <c r="M69" s="485"/>
      <c r="N69" s="476">
        <f t="shared" si="3"/>
        <v>0</v>
      </c>
      <c r="O69" s="476">
        <f t="shared" si="4"/>
        <v>0</v>
      </c>
      <c r="P69" s="241"/>
    </row>
    <row r="70" spans="2:16">
      <c r="B70" s="160" t="str">
        <f t="shared" si="7"/>
        <v/>
      </c>
      <c r="C70" s="470">
        <f>IF(D11="","-",+C69+1)</f>
        <v>2071</v>
      </c>
      <c r="D70" s="481">
        <f>IF(F69+SUM(E$17:E69)=D$10,F69,D$10-SUM(E$17:E69))</f>
        <v>0</v>
      </c>
      <c r="E70" s="482">
        <f t="shared" si="13"/>
        <v>0</v>
      </c>
      <c r="F70" s="483">
        <f t="shared" si="14"/>
        <v>0</v>
      </c>
      <c r="G70" s="484">
        <f t="shared" si="15"/>
        <v>0</v>
      </c>
      <c r="H70" s="453">
        <f t="shared" si="16"/>
        <v>0</v>
      </c>
      <c r="I70" s="473">
        <f t="shared" si="5"/>
        <v>0</v>
      </c>
      <c r="J70" s="473"/>
      <c r="K70" s="485"/>
      <c r="L70" s="476">
        <f t="shared" si="1"/>
        <v>0</v>
      </c>
      <c r="M70" s="485"/>
      <c r="N70" s="476">
        <f t="shared" si="3"/>
        <v>0</v>
      </c>
      <c r="O70" s="476">
        <f t="shared" si="4"/>
        <v>0</v>
      </c>
      <c r="P70" s="241"/>
    </row>
    <row r="71" spans="2:16">
      <c r="B71" s="160" t="str">
        <f t="shared" si="7"/>
        <v/>
      </c>
      <c r="C71" s="470">
        <f>IF(D11="","-",+C70+1)</f>
        <v>2072</v>
      </c>
      <c r="D71" s="481">
        <f>IF(F70+SUM(E$17:E70)=D$10,F70,D$10-SUM(E$17:E70))</f>
        <v>0</v>
      </c>
      <c r="E71" s="482">
        <f t="shared" si="13"/>
        <v>0</v>
      </c>
      <c r="F71" s="483">
        <f t="shared" si="14"/>
        <v>0</v>
      </c>
      <c r="G71" s="484">
        <f t="shared" si="15"/>
        <v>0</v>
      </c>
      <c r="H71" s="453">
        <f t="shared" si="16"/>
        <v>0</v>
      </c>
      <c r="I71" s="473">
        <f t="shared" si="5"/>
        <v>0</v>
      </c>
      <c r="J71" s="473"/>
      <c r="K71" s="485"/>
      <c r="L71" s="476">
        <f t="shared" si="1"/>
        <v>0</v>
      </c>
      <c r="M71" s="485"/>
      <c r="N71" s="476">
        <f t="shared" si="3"/>
        <v>0</v>
      </c>
      <c r="O71" s="476">
        <f t="shared" si="4"/>
        <v>0</v>
      </c>
      <c r="P71" s="241"/>
    </row>
    <row r="72" spans="2:16" ht="13.5" thickBot="1">
      <c r="B72" s="160" t="str">
        <f t="shared" si="7"/>
        <v/>
      </c>
      <c r="C72" s="487">
        <f>IF(D11="","-",+C71+1)</f>
        <v>2073</v>
      </c>
      <c r="D72" s="610">
        <f>IF(F71+SUM(E$17:E71)=D$10,F71,D$10-SUM(E$17:E71))</f>
        <v>0</v>
      </c>
      <c r="E72" s="489">
        <f>IF(+I$14&lt;F71,I$14,D72)</f>
        <v>0</v>
      </c>
      <c r="F72" s="488">
        <f>+D72-E72</f>
        <v>0</v>
      </c>
      <c r="G72" s="542">
        <f>(D72+F72)/2*I$12+E72</f>
        <v>0</v>
      </c>
      <c r="H72" s="433">
        <f>+(D72+F72)/2*I$13+E72</f>
        <v>0</v>
      </c>
      <c r="I72" s="491">
        <f>H72-G72</f>
        <v>0</v>
      </c>
      <c r="J72" s="473"/>
      <c r="K72" s="492"/>
      <c r="L72" s="493">
        <f t="shared" si="1"/>
        <v>0</v>
      </c>
      <c r="M72" s="492"/>
      <c r="N72" s="493">
        <f t="shared" si="3"/>
        <v>0</v>
      </c>
      <c r="O72" s="493">
        <f t="shared" si="4"/>
        <v>0</v>
      </c>
      <c r="P72" s="241"/>
    </row>
    <row r="73" spans="2:16">
      <c r="C73" s="345" t="s">
        <v>77</v>
      </c>
      <c r="D73" s="346"/>
      <c r="E73" s="346">
        <f>SUM(E17:E72)</f>
        <v>288859.60000000009</v>
      </c>
      <c r="F73" s="346"/>
      <c r="G73" s="346">
        <f>SUM(G17:G72)</f>
        <v>954031.87911671668</v>
      </c>
      <c r="H73" s="346">
        <f>SUM(H17:H72)</f>
        <v>954031.87911671668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25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33648.35187112401</v>
      </c>
      <c r="N87" s="506">
        <f>IF(J92&lt;D11,0,VLOOKUP(J92,C17:O72,11))</f>
        <v>33648.35187112401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36146.602445472985</v>
      </c>
      <c r="N88" s="510">
        <f>IF(J92&lt;D11,0,VLOOKUP(J92,C99:P154,7))</f>
        <v>36146.602445472985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Fort Towson-Valliant Line Rebuild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2498.2505743489746</v>
      </c>
      <c r="N89" s="515">
        <f>+N88-N87</f>
        <v>2498.2505743489746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TP2015204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524">
        <v>288860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v>2018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v>12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7045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2018</v>
      </c>
      <c r="D99" s="582">
        <v>0</v>
      </c>
      <c r="E99" s="606">
        <v>3512.5</v>
      </c>
      <c r="F99" s="582">
        <v>298567.5</v>
      </c>
      <c r="G99" s="606">
        <v>149283.75</v>
      </c>
      <c r="H99" s="585">
        <v>18849.250674297917</v>
      </c>
      <c r="I99" s="605">
        <v>18849.250674297917</v>
      </c>
      <c r="J99" s="476">
        <f>+I99-H99</f>
        <v>0</v>
      </c>
      <c r="K99" s="476"/>
      <c r="L99" s="475">
        <f>+H99</f>
        <v>18849.250674297917</v>
      </c>
      <c r="M99" s="475">
        <f t="shared" ref="M99" si="17">IF(L99&lt;&gt;0,+H99-L99,0)</f>
        <v>0</v>
      </c>
      <c r="N99" s="475">
        <f>+I99</f>
        <v>18849.250674297917</v>
      </c>
      <c r="O99" s="475">
        <f t="shared" ref="O99" si="18">IF(N99&lt;&gt;0,+I99-N99,0)</f>
        <v>0</v>
      </c>
      <c r="P99" s="475">
        <f t="shared" ref="P99" si="19">+O99-M99</f>
        <v>0</v>
      </c>
    </row>
    <row r="100" spans="1:16">
      <c r="B100" s="160" t="str">
        <f>IF(D100=F99,"","IU")</f>
        <v>IU</v>
      </c>
      <c r="C100" s="470">
        <f>IF(D93="","-",+C99+1)</f>
        <v>2019</v>
      </c>
      <c r="D100" s="576">
        <v>285347.5</v>
      </c>
      <c r="E100" s="577">
        <v>7045</v>
      </c>
      <c r="F100" s="576">
        <v>278302.5</v>
      </c>
      <c r="G100" s="577">
        <v>281825</v>
      </c>
      <c r="H100" s="600">
        <v>36105.110400173638</v>
      </c>
      <c r="I100" s="576">
        <v>36105.110400173638</v>
      </c>
      <c r="J100" s="476">
        <f t="shared" ref="J100:J130" si="20">+I100-H100</f>
        <v>0</v>
      </c>
      <c r="K100" s="476"/>
      <c r="L100" s="474">
        <f>H100</f>
        <v>36105.110400173638</v>
      </c>
      <c r="M100" s="347">
        <f>IF(L100&lt;&gt;0,+H100-L100,0)</f>
        <v>0</v>
      </c>
      <c r="N100" s="474">
        <f>I100</f>
        <v>36105.110400173638</v>
      </c>
      <c r="O100" s="476">
        <f t="shared" ref="O100:O130" si="21">IF(N100&lt;&gt;0,+I100-N100,0)</f>
        <v>0</v>
      </c>
      <c r="P100" s="476">
        <f t="shared" ref="P100:P130" si="22">+O100-M100</f>
        <v>0</v>
      </c>
    </row>
    <row r="101" spans="1:16">
      <c r="B101" s="160" t="str">
        <f t="shared" ref="B101:B154" si="23">IF(D101=F100,"","IU")</f>
        <v/>
      </c>
      <c r="C101" s="470">
        <f>IF(D93="","-",+C100+1)</f>
        <v>2020</v>
      </c>
      <c r="D101" s="576">
        <v>278302.5</v>
      </c>
      <c r="E101" s="577">
        <v>6718</v>
      </c>
      <c r="F101" s="576">
        <v>271584.5</v>
      </c>
      <c r="G101" s="577">
        <v>274943.5</v>
      </c>
      <c r="H101" s="600">
        <v>38418.229655174066</v>
      </c>
      <c r="I101" s="576">
        <v>38418.229655174066</v>
      </c>
      <c r="J101" s="476">
        <f t="shared" si="20"/>
        <v>0</v>
      </c>
      <c r="K101" s="476"/>
      <c r="L101" s="474">
        <f>H101</f>
        <v>38418.229655174066</v>
      </c>
      <c r="M101" s="347">
        <f>IF(L101&lt;&gt;0,+H101-L101,0)</f>
        <v>0</v>
      </c>
      <c r="N101" s="474">
        <f>I101</f>
        <v>38418.229655174066</v>
      </c>
      <c r="O101" s="476">
        <f t="shared" si="21"/>
        <v>0</v>
      </c>
      <c r="P101" s="476">
        <f t="shared" si="22"/>
        <v>0</v>
      </c>
    </row>
    <row r="102" spans="1:16">
      <c r="B102" s="160" t="str">
        <f t="shared" si="23"/>
        <v/>
      </c>
      <c r="C102" s="470">
        <f>IF(D93="","-",+C101+1)</f>
        <v>2021</v>
      </c>
      <c r="D102" s="576">
        <v>271584.5</v>
      </c>
      <c r="E102" s="577">
        <v>7045</v>
      </c>
      <c r="F102" s="576">
        <v>264539.5</v>
      </c>
      <c r="G102" s="577">
        <v>268062</v>
      </c>
      <c r="H102" s="600">
        <v>37548.523685600252</v>
      </c>
      <c r="I102" s="576">
        <v>37548.523685600252</v>
      </c>
      <c r="J102" s="476">
        <f t="shared" si="20"/>
        <v>0</v>
      </c>
      <c r="K102" s="476"/>
      <c r="L102" s="474">
        <f>H102</f>
        <v>37548.523685600252</v>
      </c>
      <c r="M102" s="347">
        <f>IF(L102&lt;&gt;0,+H102-L102,0)</f>
        <v>0</v>
      </c>
      <c r="N102" s="474">
        <f>I102</f>
        <v>37548.523685600252</v>
      </c>
      <c r="O102" s="476">
        <f t="shared" ref="O102" si="24">IF(N102&lt;&gt;0,+I102-N102,0)</f>
        <v>0</v>
      </c>
      <c r="P102" s="476">
        <f t="shared" ref="P102" si="25">+O102-M102</f>
        <v>0</v>
      </c>
    </row>
    <row r="103" spans="1:16">
      <c r="B103" s="160" t="str">
        <f t="shared" si="23"/>
        <v/>
      </c>
      <c r="C103" s="631">
        <f>IF(D93="","-",+C102+1)</f>
        <v>2022</v>
      </c>
      <c r="D103" s="345">
        <v>264539.5</v>
      </c>
      <c r="E103" s="482">
        <v>7407</v>
      </c>
      <c r="F103" s="483">
        <v>257132.5</v>
      </c>
      <c r="G103" s="483">
        <v>260836</v>
      </c>
      <c r="H103" s="611">
        <v>36146.602445472985</v>
      </c>
      <c r="I103" s="612">
        <v>36146.602445472985</v>
      </c>
      <c r="J103" s="476">
        <f t="shared" si="20"/>
        <v>0</v>
      </c>
      <c r="K103" s="476"/>
      <c r="L103" s="485"/>
      <c r="M103" s="476">
        <f t="shared" ref="M103:M130" si="26">IF(L103&lt;&gt;0,+H103-L103,0)</f>
        <v>0</v>
      </c>
      <c r="N103" s="485"/>
      <c r="O103" s="476">
        <f t="shared" si="21"/>
        <v>0</v>
      </c>
      <c r="P103" s="476">
        <f t="shared" si="22"/>
        <v>0</v>
      </c>
    </row>
    <row r="104" spans="1:16">
      <c r="B104" s="160" t="str">
        <f t="shared" si="23"/>
        <v/>
      </c>
      <c r="C104" s="470">
        <f>IF(D93="","-",+C103+1)</f>
        <v>2023</v>
      </c>
      <c r="D104" s="345">
        <f>IF(F103+SUM(E$99:E103)=D$92,F103,D$92-SUM(E$99:E103))</f>
        <v>257132.5</v>
      </c>
      <c r="E104" s="482">
        <f t="shared" ref="E104:E154" si="27">IF(+J$96&lt;F103,J$96,D104)</f>
        <v>7045</v>
      </c>
      <c r="F104" s="483">
        <f t="shared" ref="F104:F154" si="28">+D104-E104</f>
        <v>250087.5</v>
      </c>
      <c r="G104" s="483">
        <f t="shared" ref="G104:G154" si="29">+(F104+D104)/2</f>
        <v>253610</v>
      </c>
      <c r="H104" s="611">
        <f t="shared" ref="H104:H154" si="30">+J$94*G104+E104</f>
        <v>35903.990240709536</v>
      </c>
      <c r="I104" s="612">
        <f t="shared" ref="I104:I154" si="31">+J$95*G104+E104</f>
        <v>35903.990240709536</v>
      </c>
      <c r="J104" s="476">
        <f t="shared" si="20"/>
        <v>0</v>
      </c>
      <c r="K104" s="476"/>
      <c r="L104" s="485"/>
      <c r="M104" s="476">
        <f t="shared" si="26"/>
        <v>0</v>
      </c>
      <c r="N104" s="485"/>
      <c r="O104" s="476">
        <f t="shared" si="21"/>
        <v>0</v>
      </c>
      <c r="P104" s="476">
        <f t="shared" si="22"/>
        <v>0</v>
      </c>
    </row>
    <row r="105" spans="1:16">
      <c r="B105" s="160" t="str">
        <f t="shared" si="23"/>
        <v/>
      </c>
      <c r="C105" s="470">
        <f>IF(D93="","-",+C104+1)</f>
        <v>2024</v>
      </c>
      <c r="D105" s="345">
        <f>IF(F104+SUM(E$99:E104)=D$92,F104,D$92-SUM(E$99:E104))</f>
        <v>250087.5</v>
      </c>
      <c r="E105" s="482">
        <f t="shared" si="27"/>
        <v>7045</v>
      </c>
      <c r="F105" s="483">
        <f t="shared" si="28"/>
        <v>243042.5</v>
      </c>
      <c r="G105" s="483">
        <f t="shared" si="29"/>
        <v>246565</v>
      </c>
      <c r="H105" s="611">
        <f t="shared" si="30"/>
        <v>35102.320013802877</v>
      </c>
      <c r="I105" s="612">
        <f t="shared" si="31"/>
        <v>35102.320013802877</v>
      </c>
      <c r="J105" s="476">
        <f t="shared" si="20"/>
        <v>0</v>
      </c>
      <c r="K105" s="476"/>
      <c r="L105" s="485"/>
      <c r="M105" s="476">
        <f t="shared" si="26"/>
        <v>0</v>
      </c>
      <c r="N105" s="485"/>
      <c r="O105" s="476">
        <f t="shared" si="21"/>
        <v>0</v>
      </c>
      <c r="P105" s="476">
        <f t="shared" si="22"/>
        <v>0</v>
      </c>
    </row>
    <row r="106" spans="1:16">
      <c r="B106" s="160" t="str">
        <f t="shared" si="23"/>
        <v/>
      </c>
      <c r="C106" s="470">
        <f>IF(D93="","-",+C105+1)</f>
        <v>2025</v>
      </c>
      <c r="D106" s="345">
        <f>IF(F105+SUM(E$99:E105)=D$92,F105,D$92-SUM(E$99:E105))</f>
        <v>243042.5</v>
      </c>
      <c r="E106" s="482">
        <f t="shared" si="27"/>
        <v>7045</v>
      </c>
      <c r="F106" s="483">
        <f t="shared" si="28"/>
        <v>235997.5</v>
      </c>
      <c r="G106" s="483">
        <f t="shared" si="29"/>
        <v>239520</v>
      </c>
      <c r="H106" s="611">
        <f t="shared" si="30"/>
        <v>34300.649786896211</v>
      </c>
      <c r="I106" s="612">
        <f t="shared" si="31"/>
        <v>34300.649786896211</v>
      </c>
      <c r="J106" s="476">
        <f t="shared" si="20"/>
        <v>0</v>
      </c>
      <c r="K106" s="476"/>
      <c r="L106" s="485"/>
      <c r="M106" s="476">
        <f t="shared" si="26"/>
        <v>0</v>
      </c>
      <c r="N106" s="485"/>
      <c r="O106" s="476">
        <f t="shared" si="21"/>
        <v>0</v>
      </c>
      <c r="P106" s="476">
        <f t="shared" si="22"/>
        <v>0</v>
      </c>
    </row>
    <row r="107" spans="1:16">
      <c r="B107" s="160" t="str">
        <f t="shared" si="23"/>
        <v/>
      </c>
      <c r="C107" s="470">
        <f>IF(D93="","-",+C106+1)</f>
        <v>2026</v>
      </c>
      <c r="D107" s="345">
        <f>IF(F106+SUM(E$99:E106)=D$92,F106,D$92-SUM(E$99:E106))</f>
        <v>235997.5</v>
      </c>
      <c r="E107" s="482">
        <f t="shared" si="27"/>
        <v>7045</v>
      </c>
      <c r="F107" s="483">
        <f t="shared" si="28"/>
        <v>228952.5</v>
      </c>
      <c r="G107" s="483">
        <f t="shared" si="29"/>
        <v>232475</v>
      </c>
      <c r="H107" s="611">
        <f t="shared" si="30"/>
        <v>33498.979559989544</v>
      </c>
      <c r="I107" s="612">
        <f t="shared" si="31"/>
        <v>33498.979559989544</v>
      </c>
      <c r="J107" s="476">
        <f t="shared" si="20"/>
        <v>0</v>
      </c>
      <c r="K107" s="476"/>
      <c r="L107" s="485"/>
      <c r="M107" s="476">
        <f t="shared" si="26"/>
        <v>0</v>
      </c>
      <c r="N107" s="485"/>
      <c r="O107" s="476">
        <f t="shared" si="21"/>
        <v>0</v>
      </c>
      <c r="P107" s="476">
        <f t="shared" si="22"/>
        <v>0</v>
      </c>
    </row>
    <row r="108" spans="1:16">
      <c r="B108" s="160" t="str">
        <f t="shared" si="23"/>
        <v/>
      </c>
      <c r="C108" s="470">
        <f>IF(D93="","-",+C107+1)</f>
        <v>2027</v>
      </c>
      <c r="D108" s="345">
        <f>IF(F107+SUM(E$99:E107)=D$92,F107,D$92-SUM(E$99:E107))</f>
        <v>228952.5</v>
      </c>
      <c r="E108" s="482">
        <f t="shared" si="27"/>
        <v>7045</v>
      </c>
      <c r="F108" s="483">
        <f t="shared" si="28"/>
        <v>221907.5</v>
      </c>
      <c r="G108" s="483">
        <f t="shared" si="29"/>
        <v>225430</v>
      </c>
      <c r="H108" s="611">
        <f t="shared" si="30"/>
        <v>32697.309333082885</v>
      </c>
      <c r="I108" s="612">
        <f t="shared" si="31"/>
        <v>32697.309333082885</v>
      </c>
      <c r="J108" s="476">
        <f t="shared" si="20"/>
        <v>0</v>
      </c>
      <c r="K108" s="476"/>
      <c r="L108" s="485"/>
      <c r="M108" s="476">
        <f t="shared" si="26"/>
        <v>0</v>
      </c>
      <c r="N108" s="485"/>
      <c r="O108" s="476">
        <f t="shared" si="21"/>
        <v>0</v>
      </c>
      <c r="P108" s="476">
        <f t="shared" si="22"/>
        <v>0</v>
      </c>
    </row>
    <row r="109" spans="1:16">
      <c r="B109" s="160" t="str">
        <f t="shared" si="23"/>
        <v/>
      </c>
      <c r="C109" s="470">
        <f>IF(D93="","-",+C108+1)</f>
        <v>2028</v>
      </c>
      <c r="D109" s="345">
        <f>IF(F108+SUM(E$99:E108)=D$92,F108,D$92-SUM(E$99:E108))</f>
        <v>221907.5</v>
      </c>
      <c r="E109" s="482">
        <f t="shared" si="27"/>
        <v>7045</v>
      </c>
      <c r="F109" s="483">
        <f t="shared" si="28"/>
        <v>214862.5</v>
      </c>
      <c r="G109" s="483">
        <f t="shared" si="29"/>
        <v>218385</v>
      </c>
      <c r="H109" s="611">
        <f t="shared" si="30"/>
        <v>31895.639106176222</v>
      </c>
      <c r="I109" s="612">
        <f t="shared" si="31"/>
        <v>31895.639106176222</v>
      </c>
      <c r="J109" s="476">
        <f t="shared" si="20"/>
        <v>0</v>
      </c>
      <c r="K109" s="476"/>
      <c r="L109" s="485"/>
      <c r="M109" s="476">
        <f t="shared" si="26"/>
        <v>0</v>
      </c>
      <c r="N109" s="485"/>
      <c r="O109" s="476">
        <f t="shared" si="21"/>
        <v>0</v>
      </c>
      <c r="P109" s="476">
        <f t="shared" si="22"/>
        <v>0</v>
      </c>
    </row>
    <row r="110" spans="1:16">
      <c r="B110" s="160" t="str">
        <f t="shared" si="23"/>
        <v/>
      </c>
      <c r="C110" s="470">
        <f>IF(D93="","-",+C109+1)</f>
        <v>2029</v>
      </c>
      <c r="D110" s="345">
        <f>IF(F109+SUM(E$99:E109)=D$92,F109,D$92-SUM(E$99:E109))</f>
        <v>214862.5</v>
      </c>
      <c r="E110" s="482">
        <f t="shared" si="27"/>
        <v>7045</v>
      </c>
      <c r="F110" s="483">
        <f t="shared" si="28"/>
        <v>207817.5</v>
      </c>
      <c r="G110" s="483">
        <f t="shared" si="29"/>
        <v>211340</v>
      </c>
      <c r="H110" s="611">
        <f t="shared" si="30"/>
        <v>31093.96887926956</v>
      </c>
      <c r="I110" s="612">
        <f t="shared" si="31"/>
        <v>31093.96887926956</v>
      </c>
      <c r="J110" s="476">
        <f t="shared" si="20"/>
        <v>0</v>
      </c>
      <c r="K110" s="476"/>
      <c r="L110" s="485"/>
      <c r="M110" s="476">
        <f t="shared" si="26"/>
        <v>0</v>
      </c>
      <c r="N110" s="485"/>
      <c r="O110" s="476">
        <f t="shared" si="21"/>
        <v>0</v>
      </c>
      <c r="P110" s="476">
        <f t="shared" si="22"/>
        <v>0</v>
      </c>
    </row>
    <row r="111" spans="1:16">
      <c r="B111" s="160" t="str">
        <f t="shared" si="23"/>
        <v/>
      </c>
      <c r="C111" s="470">
        <f>IF(D93="","-",+C110+1)</f>
        <v>2030</v>
      </c>
      <c r="D111" s="345">
        <f>IF(F110+SUM(E$99:E110)=D$92,F110,D$92-SUM(E$99:E110))</f>
        <v>207817.5</v>
      </c>
      <c r="E111" s="482">
        <f t="shared" si="27"/>
        <v>7045</v>
      </c>
      <c r="F111" s="483">
        <f t="shared" si="28"/>
        <v>200772.5</v>
      </c>
      <c r="G111" s="483">
        <f t="shared" si="29"/>
        <v>204295</v>
      </c>
      <c r="H111" s="611">
        <f t="shared" si="30"/>
        <v>30292.298652362897</v>
      </c>
      <c r="I111" s="612">
        <f t="shared" si="31"/>
        <v>30292.298652362897</v>
      </c>
      <c r="J111" s="476">
        <f t="shared" si="20"/>
        <v>0</v>
      </c>
      <c r="K111" s="476"/>
      <c r="L111" s="485"/>
      <c r="M111" s="476">
        <f t="shared" si="26"/>
        <v>0</v>
      </c>
      <c r="N111" s="485"/>
      <c r="O111" s="476">
        <f t="shared" si="21"/>
        <v>0</v>
      </c>
      <c r="P111" s="476">
        <f t="shared" si="22"/>
        <v>0</v>
      </c>
    </row>
    <row r="112" spans="1:16">
      <c r="B112" s="160" t="str">
        <f t="shared" si="23"/>
        <v/>
      </c>
      <c r="C112" s="470">
        <f>IF(D93="","-",+C111+1)</f>
        <v>2031</v>
      </c>
      <c r="D112" s="345">
        <f>IF(F111+SUM(E$99:E111)=D$92,F111,D$92-SUM(E$99:E111))</f>
        <v>200772.5</v>
      </c>
      <c r="E112" s="482">
        <f t="shared" si="27"/>
        <v>7045</v>
      </c>
      <c r="F112" s="483">
        <f t="shared" si="28"/>
        <v>193727.5</v>
      </c>
      <c r="G112" s="483">
        <f t="shared" si="29"/>
        <v>197250</v>
      </c>
      <c r="H112" s="611">
        <f t="shared" si="30"/>
        <v>29490.628425456234</v>
      </c>
      <c r="I112" s="612">
        <f t="shared" si="31"/>
        <v>29490.628425456234</v>
      </c>
      <c r="J112" s="476">
        <f t="shared" si="20"/>
        <v>0</v>
      </c>
      <c r="K112" s="476"/>
      <c r="L112" s="485"/>
      <c r="M112" s="476">
        <f t="shared" si="26"/>
        <v>0</v>
      </c>
      <c r="N112" s="485"/>
      <c r="O112" s="476">
        <f t="shared" si="21"/>
        <v>0</v>
      </c>
      <c r="P112" s="476">
        <f t="shared" si="22"/>
        <v>0</v>
      </c>
    </row>
    <row r="113" spans="2:16">
      <c r="B113" s="160" t="str">
        <f t="shared" si="23"/>
        <v/>
      </c>
      <c r="C113" s="470">
        <f>IF(D93="","-",+C112+1)</f>
        <v>2032</v>
      </c>
      <c r="D113" s="345">
        <f>IF(F112+SUM(E$99:E112)=D$92,F112,D$92-SUM(E$99:E112))</f>
        <v>193727.5</v>
      </c>
      <c r="E113" s="482">
        <f t="shared" si="27"/>
        <v>7045</v>
      </c>
      <c r="F113" s="483">
        <f t="shared" si="28"/>
        <v>186682.5</v>
      </c>
      <c r="G113" s="483">
        <f t="shared" si="29"/>
        <v>190205</v>
      </c>
      <c r="H113" s="611">
        <f t="shared" si="30"/>
        <v>28688.958198549575</v>
      </c>
      <c r="I113" s="612">
        <f t="shared" si="31"/>
        <v>28688.958198549575</v>
      </c>
      <c r="J113" s="476">
        <f t="shared" si="20"/>
        <v>0</v>
      </c>
      <c r="K113" s="476"/>
      <c r="L113" s="485"/>
      <c r="M113" s="476">
        <f t="shared" si="26"/>
        <v>0</v>
      </c>
      <c r="N113" s="485"/>
      <c r="O113" s="476">
        <f t="shared" si="21"/>
        <v>0</v>
      </c>
      <c r="P113" s="476">
        <f t="shared" si="22"/>
        <v>0</v>
      </c>
    </row>
    <row r="114" spans="2:16">
      <c r="B114" s="160" t="str">
        <f t="shared" si="23"/>
        <v/>
      </c>
      <c r="C114" s="470">
        <f>IF(D93="","-",+C113+1)</f>
        <v>2033</v>
      </c>
      <c r="D114" s="345">
        <f>IF(F113+SUM(E$99:E113)=D$92,F113,D$92-SUM(E$99:E113))</f>
        <v>186682.5</v>
      </c>
      <c r="E114" s="482">
        <f t="shared" si="27"/>
        <v>7045</v>
      </c>
      <c r="F114" s="483">
        <f t="shared" si="28"/>
        <v>179637.5</v>
      </c>
      <c r="G114" s="483">
        <f t="shared" si="29"/>
        <v>183160</v>
      </c>
      <c r="H114" s="611">
        <f t="shared" si="30"/>
        <v>27887.287971642912</v>
      </c>
      <c r="I114" s="612">
        <f t="shared" si="31"/>
        <v>27887.287971642912</v>
      </c>
      <c r="J114" s="476">
        <f t="shared" si="20"/>
        <v>0</v>
      </c>
      <c r="K114" s="476"/>
      <c r="L114" s="485"/>
      <c r="M114" s="476">
        <f t="shared" si="26"/>
        <v>0</v>
      </c>
      <c r="N114" s="485"/>
      <c r="O114" s="476">
        <f t="shared" si="21"/>
        <v>0</v>
      </c>
      <c r="P114" s="476">
        <f t="shared" si="22"/>
        <v>0</v>
      </c>
    </row>
    <row r="115" spans="2:16">
      <c r="B115" s="160" t="str">
        <f t="shared" si="23"/>
        <v/>
      </c>
      <c r="C115" s="470">
        <f>IF(D93="","-",+C114+1)</f>
        <v>2034</v>
      </c>
      <c r="D115" s="345">
        <f>IF(F114+SUM(E$99:E114)=D$92,F114,D$92-SUM(E$99:E114))</f>
        <v>179637.5</v>
      </c>
      <c r="E115" s="482">
        <f t="shared" si="27"/>
        <v>7045</v>
      </c>
      <c r="F115" s="483">
        <f t="shared" si="28"/>
        <v>172592.5</v>
      </c>
      <c r="G115" s="483">
        <f t="shared" si="29"/>
        <v>176115</v>
      </c>
      <c r="H115" s="611">
        <f t="shared" si="30"/>
        <v>27085.61774473625</v>
      </c>
      <c r="I115" s="612">
        <f t="shared" si="31"/>
        <v>27085.61774473625</v>
      </c>
      <c r="J115" s="476">
        <f t="shared" si="20"/>
        <v>0</v>
      </c>
      <c r="K115" s="476"/>
      <c r="L115" s="485"/>
      <c r="M115" s="476">
        <f t="shared" si="26"/>
        <v>0</v>
      </c>
      <c r="N115" s="485"/>
      <c r="O115" s="476">
        <f t="shared" si="21"/>
        <v>0</v>
      </c>
      <c r="P115" s="476">
        <f t="shared" si="22"/>
        <v>0</v>
      </c>
    </row>
    <row r="116" spans="2:16">
      <c r="B116" s="160" t="str">
        <f t="shared" si="23"/>
        <v/>
      </c>
      <c r="C116" s="470">
        <f>IF(D93="","-",+C115+1)</f>
        <v>2035</v>
      </c>
      <c r="D116" s="345">
        <f>IF(F115+SUM(E$99:E115)=D$92,F115,D$92-SUM(E$99:E115))</f>
        <v>172592.5</v>
      </c>
      <c r="E116" s="482">
        <f t="shared" si="27"/>
        <v>7045</v>
      </c>
      <c r="F116" s="483">
        <f t="shared" si="28"/>
        <v>165547.5</v>
      </c>
      <c r="G116" s="483">
        <f t="shared" si="29"/>
        <v>169070</v>
      </c>
      <c r="H116" s="611">
        <f t="shared" si="30"/>
        <v>26283.947517829587</v>
      </c>
      <c r="I116" s="612">
        <f t="shared" si="31"/>
        <v>26283.947517829587</v>
      </c>
      <c r="J116" s="476">
        <f t="shared" si="20"/>
        <v>0</v>
      </c>
      <c r="K116" s="476"/>
      <c r="L116" s="485"/>
      <c r="M116" s="476">
        <f t="shared" si="26"/>
        <v>0</v>
      </c>
      <c r="N116" s="485"/>
      <c r="O116" s="476">
        <f t="shared" si="21"/>
        <v>0</v>
      </c>
      <c r="P116" s="476">
        <f t="shared" si="22"/>
        <v>0</v>
      </c>
    </row>
    <row r="117" spans="2:16">
      <c r="B117" s="160" t="str">
        <f t="shared" si="23"/>
        <v/>
      </c>
      <c r="C117" s="470">
        <f>IF(D93="","-",+C116+1)</f>
        <v>2036</v>
      </c>
      <c r="D117" s="345">
        <f>IF(F116+SUM(E$99:E116)=D$92,F116,D$92-SUM(E$99:E116))</f>
        <v>165547.5</v>
      </c>
      <c r="E117" s="482">
        <f t="shared" si="27"/>
        <v>7045</v>
      </c>
      <c r="F117" s="483">
        <f t="shared" si="28"/>
        <v>158502.5</v>
      </c>
      <c r="G117" s="483">
        <f t="shared" si="29"/>
        <v>162025</v>
      </c>
      <c r="H117" s="611">
        <f t="shared" si="30"/>
        <v>25482.277290922924</v>
      </c>
      <c r="I117" s="612">
        <f t="shared" si="31"/>
        <v>25482.277290922924</v>
      </c>
      <c r="J117" s="476">
        <f t="shared" si="20"/>
        <v>0</v>
      </c>
      <c r="K117" s="476"/>
      <c r="L117" s="485"/>
      <c r="M117" s="476">
        <f t="shared" si="26"/>
        <v>0</v>
      </c>
      <c r="N117" s="485"/>
      <c r="O117" s="476">
        <f t="shared" si="21"/>
        <v>0</v>
      </c>
      <c r="P117" s="476">
        <f t="shared" si="22"/>
        <v>0</v>
      </c>
    </row>
    <row r="118" spans="2:16">
      <c r="B118" s="160" t="str">
        <f t="shared" si="23"/>
        <v/>
      </c>
      <c r="C118" s="470">
        <f>IF(D93="","-",+C117+1)</f>
        <v>2037</v>
      </c>
      <c r="D118" s="345">
        <f>IF(F117+SUM(E$99:E117)=D$92,F117,D$92-SUM(E$99:E117))</f>
        <v>158502.5</v>
      </c>
      <c r="E118" s="482">
        <f t="shared" si="27"/>
        <v>7045</v>
      </c>
      <c r="F118" s="483">
        <f t="shared" si="28"/>
        <v>151457.5</v>
      </c>
      <c r="G118" s="483">
        <f t="shared" si="29"/>
        <v>154980</v>
      </c>
      <c r="H118" s="611">
        <f t="shared" si="30"/>
        <v>24680.607064016262</v>
      </c>
      <c r="I118" s="612">
        <f t="shared" si="31"/>
        <v>24680.607064016262</v>
      </c>
      <c r="J118" s="476">
        <f t="shared" si="20"/>
        <v>0</v>
      </c>
      <c r="K118" s="476"/>
      <c r="L118" s="485"/>
      <c r="M118" s="476">
        <f t="shared" si="26"/>
        <v>0</v>
      </c>
      <c r="N118" s="485"/>
      <c r="O118" s="476">
        <f t="shared" si="21"/>
        <v>0</v>
      </c>
      <c r="P118" s="476">
        <f t="shared" si="22"/>
        <v>0</v>
      </c>
    </row>
    <row r="119" spans="2:16">
      <c r="B119" s="160" t="str">
        <f t="shared" si="23"/>
        <v/>
      </c>
      <c r="C119" s="470">
        <f>IF(D93="","-",+C118+1)</f>
        <v>2038</v>
      </c>
      <c r="D119" s="345">
        <f>IF(F118+SUM(E$99:E118)=D$92,F118,D$92-SUM(E$99:E118))</f>
        <v>151457.5</v>
      </c>
      <c r="E119" s="482">
        <f t="shared" si="27"/>
        <v>7045</v>
      </c>
      <c r="F119" s="483">
        <f t="shared" si="28"/>
        <v>144412.5</v>
      </c>
      <c r="G119" s="483">
        <f t="shared" si="29"/>
        <v>147935</v>
      </c>
      <c r="H119" s="611">
        <f t="shared" si="30"/>
        <v>23878.936837109599</v>
      </c>
      <c r="I119" s="612">
        <f t="shared" si="31"/>
        <v>23878.936837109599</v>
      </c>
      <c r="J119" s="476">
        <f t="shared" si="20"/>
        <v>0</v>
      </c>
      <c r="K119" s="476"/>
      <c r="L119" s="485"/>
      <c r="M119" s="476">
        <f t="shared" si="26"/>
        <v>0</v>
      </c>
      <c r="N119" s="485"/>
      <c r="O119" s="476">
        <f t="shared" si="21"/>
        <v>0</v>
      </c>
      <c r="P119" s="476">
        <f t="shared" si="22"/>
        <v>0</v>
      </c>
    </row>
    <row r="120" spans="2:16">
      <c r="B120" s="160" t="str">
        <f t="shared" si="23"/>
        <v/>
      </c>
      <c r="C120" s="470">
        <f>IF(D93="","-",+C119+1)</f>
        <v>2039</v>
      </c>
      <c r="D120" s="345">
        <f>IF(F119+SUM(E$99:E119)=D$92,F119,D$92-SUM(E$99:E119))</f>
        <v>144412.5</v>
      </c>
      <c r="E120" s="482">
        <f t="shared" si="27"/>
        <v>7045</v>
      </c>
      <c r="F120" s="483">
        <f t="shared" si="28"/>
        <v>137367.5</v>
      </c>
      <c r="G120" s="483">
        <f t="shared" si="29"/>
        <v>140890</v>
      </c>
      <c r="H120" s="611">
        <f t="shared" si="30"/>
        <v>23077.266610202936</v>
      </c>
      <c r="I120" s="612">
        <f t="shared" si="31"/>
        <v>23077.266610202936</v>
      </c>
      <c r="J120" s="476">
        <f t="shared" si="20"/>
        <v>0</v>
      </c>
      <c r="K120" s="476"/>
      <c r="L120" s="485"/>
      <c r="M120" s="476">
        <f t="shared" si="26"/>
        <v>0</v>
      </c>
      <c r="N120" s="485"/>
      <c r="O120" s="476">
        <f t="shared" si="21"/>
        <v>0</v>
      </c>
      <c r="P120" s="476">
        <f t="shared" si="22"/>
        <v>0</v>
      </c>
    </row>
    <row r="121" spans="2:16">
      <c r="B121" s="160" t="str">
        <f t="shared" si="23"/>
        <v/>
      </c>
      <c r="C121" s="470">
        <f>IF(D93="","-",+C120+1)</f>
        <v>2040</v>
      </c>
      <c r="D121" s="345">
        <f>IF(F120+SUM(E$99:E120)=D$92,F120,D$92-SUM(E$99:E120))</f>
        <v>137367.5</v>
      </c>
      <c r="E121" s="482">
        <f t="shared" si="27"/>
        <v>7045</v>
      </c>
      <c r="F121" s="483">
        <f t="shared" si="28"/>
        <v>130322.5</v>
      </c>
      <c r="G121" s="483">
        <f t="shared" si="29"/>
        <v>133845</v>
      </c>
      <c r="H121" s="611">
        <f t="shared" si="30"/>
        <v>22275.596383296273</v>
      </c>
      <c r="I121" s="612">
        <f t="shared" si="31"/>
        <v>22275.596383296273</v>
      </c>
      <c r="J121" s="476">
        <f t="shared" si="20"/>
        <v>0</v>
      </c>
      <c r="K121" s="476"/>
      <c r="L121" s="485"/>
      <c r="M121" s="476">
        <f t="shared" si="26"/>
        <v>0</v>
      </c>
      <c r="N121" s="485"/>
      <c r="O121" s="476">
        <f t="shared" si="21"/>
        <v>0</v>
      </c>
      <c r="P121" s="476">
        <f t="shared" si="22"/>
        <v>0</v>
      </c>
    </row>
    <row r="122" spans="2:16">
      <c r="B122" s="160" t="str">
        <f t="shared" si="23"/>
        <v/>
      </c>
      <c r="C122" s="470">
        <f>IF(D93="","-",+C121+1)</f>
        <v>2041</v>
      </c>
      <c r="D122" s="345">
        <f>IF(F121+SUM(E$99:E121)=D$92,F121,D$92-SUM(E$99:E121))</f>
        <v>130322.5</v>
      </c>
      <c r="E122" s="482">
        <f t="shared" si="27"/>
        <v>7045</v>
      </c>
      <c r="F122" s="483">
        <f t="shared" si="28"/>
        <v>123277.5</v>
      </c>
      <c r="G122" s="483">
        <f t="shared" si="29"/>
        <v>126800</v>
      </c>
      <c r="H122" s="611">
        <f t="shared" si="30"/>
        <v>21473.926156389611</v>
      </c>
      <c r="I122" s="612">
        <f t="shared" si="31"/>
        <v>21473.926156389611</v>
      </c>
      <c r="J122" s="476">
        <f t="shared" si="20"/>
        <v>0</v>
      </c>
      <c r="K122" s="476"/>
      <c r="L122" s="485"/>
      <c r="M122" s="476">
        <f t="shared" si="26"/>
        <v>0</v>
      </c>
      <c r="N122" s="485"/>
      <c r="O122" s="476">
        <f t="shared" si="21"/>
        <v>0</v>
      </c>
      <c r="P122" s="476">
        <f t="shared" si="22"/>
        <v>0</v>
      </c>
    </row>
    <row r="123" spans="2:16">
      <c r="B123" s="160" t="str">
        <f t="shared" si="23"/>
        <v/>
      </c>
      <c r="C123" s="470">
        <f>IF(D93="","-",+C122+1)</f>
        <v>2042</v>
      </c>
      <c r="D123" s="345">
        <f>IF(F122+SUM(E$99:E122)=D$92,F122,D$92-SUM(E$99:E122))</f>
        <v>123277.5</v>
      </c>
      <c r="E123" s="482">
        <f t="shared" si="27"/>
        <v>7045</v>
      </c>
      <c r="F123" s="483">
        <f t="shared" si="28"/>
        <v>116232.5</v>
      </c>
      <c r="G123" s="483">
        <f t="shared" si="29"/>
        <v>119755</v>
      </c>
      <c r="H123" s="611">
        <f t="shared" si="30"/>
        <v>20672.255929482948</v>
      </c>
      <c r="I123" s="612">
        <f t="shared" si="31"/>
        <v>20672.255929482948</v>
      </c>
      <c r="J123" s="476">
        <f t="shared" si="20"/>
        <v>0</v>
      </c>
      <c r="K123" s="476"/>
      <c r="L123" s="485"/>
      <c r="M123" s="476">
        <f t="shared" si="26"/>
        <v>0</v>
      </c>
      <c r="N123" s="485"/>
      <c r="O123" s="476">
        <f t="shared" si="21"/>
        <v>0</v>
      </c>
      <c r="P123" s="476">
        <f t="shared" si="22"/>
        <v>0</v>
      </c>
    </row>
    <row r="124" spans="2:16">
      <c r="B124" s="160" t="str">
        <f t="shared" si="23"/>
        <v/>
      </c>
      <c r="C124" s="470">
        <f>IF(D93="","-",+C123+1)</f>
        <v>2043</v>
      </c>
      <c r="D124" s="345">
        <f>IF(F123+SUM(E$99:E123)=D$92,F123,D$92-SUM(E$99:E123))</f>
        <v>116232.5</v>
      </c>
      <c r="E124" s="482">
        <f t="shared" si="27"/>
        <v>7045</v>
      </c>
      <c r="F124" s="483">
        <f t="shared" si="28"/>
        <v>109187.5</v>
      </c>
      <c r="G124" s="483">
        <f t="shared" si="29"/>
        <v>112710</v>
      </c>
      <c r="H124" s="611">
        <f t="shared" si="30"/>
        <v>19870.585702576285</v>
      </c>
      <c r="I124" s="612">
        <f t="shared" si="31"/>
        <v>19870.585702576285</v>
      </c>
      <c r="J124" s="476">
        <f t="shared" si="20"/>
        <v>0</v>
      </c>
      <c r="K124" s="476"/>
      <c r="L124" s="485"/>
      <c r="M124" s="476">
        <f t="shared" si="26"/>
        <v>0</v>
      </c>
      <c r="N124" s="485"/>
      <c r="O124" s="476">
        <f t="shared" si="21"/>
        <v>0</v>
      </c>
      <c r="P124" s="476">
        <f t="shared" si="22"/>
        <v>0</v>
      </c>
    </row>
    <row r="125" spans="2:16">
      <c r="B125" s="160" t="str">
        <f t="shared" si="23"/>
        <v/>
      </c>
      <c r="C125" s="470">
        <f>IF(D93="","-",+C124+1)</f>
        <v>2044</v>
      </c>
      <c r="D125" s="345">
        <f>IF(F124+SUM(E$99:E124)=D$92,F124,D$92-SUM(E$99:E124))</f>
        <v>109187.5</v>
      </c>
      <c r="E125" s="482">
        <f t="shared" si="27"/>
        <v>7045</v>
      </c>
      <c r="F125" s="483">
        <f t="shared" si="28"/>
        <v>102142.5</v>
      </c>
      <c r="G125" s="483">
        <f t="shared" si="29"/>
        <v>105665</v>
      </c>
      <c r="H125" s="611">
        <f t="shared" si="30"/>
        <v>19068.915475669623</v>
      </c>
      <c r="I125" s="612">
        <f t="shared" si="31"/>
        <v>19068.915475669623</v>
      </c>
      <c r="J125" s="476">
        <f t="shared" si="20"/>
        <v>0</v>
      </c>
      <c r="K125" s="476"/>
      <c r="L125" s="485"/>
      <c r="M125" s="476">
        <f t="shared" si="26"/>
        <v>0</v>
      </c>
      <c r="N125" s="485"/>
      <c r="O125" s="476">
        <f t="shared" si="21"/>
        <v>0</v>
      </c>
      <c r="P125" s="476">
        <f t="shared" si="22"/>
        <v>0</v>
      </c>
    </row>
    <row r="126" spans="2:16">
      <c r="B126" s="160" t="str">
        <f t="shared" si="23"/>
        <v/>
      </c>
      <c r="C126" s="470">
        <f>IF(D93="","-",+C125+1)</f>
        <v>2045</v>
      </c>
      <c r="D126" s="345">
        <f>IF(F125+SUM(E$99:E125)=D$92,F125,D$92-SUM(E$99:E125))</f>
        <v>102142.5</v>
      </c>
      <c r="E126" s="482">
        <f t="shared" si="27"/>
        <v>7045</v>
      </c>
      <c r="F126" s="483">
        <f t="shared" si="28"/>
        <v>95097.5</v>
      </c>
      <c r="G126" s="483">
        <f t="shared" si="29"/>
        <v>98620</v>
      </c>
      <c r="H126" s="611">
        <f t="shared" si="30"/>
        <v>18267.24524876296</v>
      </c>
      <c r="I126" s="612">
        <f t="shared" si="31"/>
        <v>18267.24524876296</v>
      </c>
      <c r="J126" s="476">
        <f t="shared" si="20"/>
        <v>0</v>
      </c>
      <c r="K126" s="476"/>
      <c r="L126" s="485"/>
      <c r="M126" s="476">
        <f t="shared" si="26"/>
        <v>0</v>
      </c>
      <c r="N126" s="485"/>
      <c r="O126" s="476">
        <f t="shared" si="21"/>
        <v>0</v>
      </c>
      <c r="P126" s="476">
        <f t="shared" si="22"/>
        <v>0</v>
      </c>
    </row>
    <row r="127" spans="2:16">
      <c r="B127" s="160" t="str">
        <f t="shared" si="23"/>
        <v/>
      </c>
      <c r="C127" s="470">
        <f>IF(D93="","-",+C126+1)</f>
        <v>2046</v>
      </c>
      <c r="D127" s="345">
        <f>IF(F126+SUM(E$99:E126)=D$92,F126,D$92-SUM(E$99:E126))</f>
        <v>95097.5</v>
      </c>
      <c r="E127" s="482">
        <f t="shared" si="27"/>
        <v>7045</v>
      </c>
      <c r="F127" s="483">
        <f t="shared" si="28"/>
        <v>88052.5</v>
      </c>
      <c r="G127" s="483">
        <f t="shared" si="29"/>
        <v>91575</v>
      </c>
      <c r="H127" s="611">
        <f t="shared" si="30"/>
        <v>17465.575021856297</v>
      </c>
      <c r="I127" s="612">
        <f t="shared" si="31"/>
        <v>17465.575021856297</v>
      </c>
      <c r="J127" s="476">
        <f t="shared" si="20"/>
        <v>0</v>
      </c>
      <c r="K127" s="476"/>
      <c r="L127" s="485"/>
      <c r="M127" s="476">
        <f t="shared" si="26"/>
        <v>0</v>
      </c>
      <c r="N127" s="485"/>
      <c r="O127" s="476">
        <f t="shared" si="21"/>
        <v>0</v>
      </c>
      <c r="P127" s="476">
        <f t="shared" si="22"/>
        <v>0</v>
      </c>
    </row>
    <row r="128" spans="2:16">
      <c r="B128" s="160" t="str">
        <f t="shared" si="23"/>
        <v/>
      </c>
      <c r="C128" s="470">
        <f>IF(D93="","-",+C127+1)</f>
        <v>2047</v>
      </c>
      <c r="D128" s="345">
        <f>IF(F127+SUM(E$99:E127)=D$92,F127,D$92-SUM(E$99:E127))</f>
        <v>88052.5</v>
      </c>
      <c r="E128" s="482">
        <f t="shared" si="27"/>
        <v>7045</v>
      </c>
      <c r="F128" s="483">
        <f t="shared" si="28"/>
        <v>81007.5</v>
      </c>
      <c r="G128" s="483">
        <f t="shared" si="29"/>
        <v>84530</v>
      </c>
      <c r="H128" s="611">
        <f t="shared" si="30"/>
        <v>16663.904794949638</v>
      </c>
      <c r="I128" s="612">
        <f t="shared" si="31"/>
        <v>16663.904794949638</v>
      </c>
      <c r="J128" s="476">
        <f t="shared" si="20"/>
        <v>0</v>
      </c>
      <c r="K128" s="476"/>
      <c r="L128" s="485"/>
      <c r="M128" s="476">
        <f t="shared" si="26"/>
        <v>0</v>
      </c>
      <c r="N128" s="485"/>
      <c r="O128" s="476">
        <f t="shared" si="21"/>
        <v>0</v>
      </c>
      <c r="P128" s="476">
        <f t="shared" si="22"/>
        <v>0</v>
      </c>
    </row>
    <row r="129" spans="2:16">
      <c r="B129" s="160" t="str">
        <f t="shared" si="23"/>
        <v/>
      </c>
      <c r="C129" s="470">
        <f>IF(D93="","-",+C128+1)</f>
        <v>2048</v>
      </c>
      <c r="D129" s="345">
        <f>IF(F128+SUM(E$99:E128)=D$92,F128,D$92-SUM(E$99:E128))</f>
        <v>81007.5</v>
      </c>
      <c r="E129" s="482">
        <f t="shared" si="27"/>
        <v>7045</v>
      </c>
      <c r="F129" s="483">
        <f t="shared" si="28"/>
        <v>73962.5</v>
      </c>
      <c r="G129" s="483">
        <f t="shared" si="29"/>
        <v>77485</v>
      </c>
      <c r="H129" s="611">
        <f t="shared" si="30"/>
        <v>15862.234568042973</v>
      </c>
      <c r="I129" s="612">
        <f t="shared" si="31"/>
        <v>15862.234568042973</v>
      </c>
      <c r="J129" s="476">
        <f t="shared" si="20"/>
        <v>0</v>
      </c>
      <c r="K129" s="476"/>
      <c r="L129" s="485"/>
      <c r="M129" s="476">
        <f t="shared" si="26"/>
        <v>0</v>
      </c>
      <c r="N129" s="485"/>
      <c r="O129" s="476">
        <f t="shared" si="21"/>
        <v>0</v>
      </c>
      <c r="P129" s="476">
        <f t="shared" si="22"/>
        <v>0</v>
      </c>
    </row>
    <row r="130" spans="2:16">
      <c r="B130" s="160" t="str">
        <f t="shared" si="23"/>
        <v/>
      </c>
      <c r="C130" s="470">
        <f>IF(D93="","-",+C129+1)</f>
        <v>2049</v>
      </c>
      <c r="D130" s="345">
        <f>IF(F129+SUM(E$99:E129)=D$92,F129,D$92-SUM(E$99:E129))</f>
        <v>73962.5</v>
      </c>
      <c r="E130" s="482">
        <f t="shared" si="27"/>
        <v>7045</v>
      </c>
      <c r="F130" s="483">
        <f t="shared" si="28"/>
        <v>66917.5</v>
      </c>
      <c r="G130" s="483">
        <f t="shared" si="29"/>
        <v>70440</v>
      </c>
      <c r="H130" s="611">
        <f t="shared" si="30"/>
        <v>15060.564341136311</v>
      </c>
      <c r="I130" s="612">
        <f t="shared" si="31"/>
        <v>15060.564341136311</v>
      </c>
      <c r="J130" s="476">
        <f t="shared" si="20"/>
        <v>0</v>
      </c>
      <c r="K130" s="476"/>
      <c r="L130" s="485"/>
      <c r="M130" s="476">
        <f t="shared" si="26"/>
        <v>0</v>
      </c>
      <c r="N130" s="485"/>
      <c r="O130" s="476">
        <f t="shared" si="21"/>
        <v>0</v>
      </c>
      <c r="P130" s="476">
        <f t="shared" si="22"/>
        <v>0</v>
      </c>
    </row>
    <row r="131" spans="2:16">
      <c r="B131" s="160" t="str">
        <f t="shared" si="23"/>
        <v/>
      </c>
      <c r="C131" s="470">
        <f>IF(D93="","-",+C130+1)</f>
        <v>2050</v>
      </c>
      <c r="D131" s="345">
        <f>IF(F130+SUM(E$99:E130)=D$92,F130,D$92-SUM(E$99:E130))</f>
        <v>66917.5</v>
      </c>
      <c r="E131" s="482">
        <f t="shared" si="27"/>
        <v>7045</v>
      </c>
      <c r="F131" s="483">
        <f t="shared" si="28"/>
        <v>59872.5</v>
      </c>
      <c r="G131" s="483">
        <f t="shared" si="29"/>
        <v>63395</v>
      </c>
      <c r="H131" s="611">
        <f t="shared" si="30"/>
        <v>14258.894114229648</v>
      </c>
      <c r="I131" s="612">
        <f t="shared" si="31"/>
        <v>14258.894114229648</v>
      </c>
      <c r="J131" s="476">
        <f t="shared" ref="J131:J154" si="32">+I541-H541</f>
        <v>0</v>
      </c>
      <c r="K131" s="476"/>
      <c r="L131" s="485"/>
      <c r="M131" s="476">
        <f t="shared" ref="M131:M154" si="33">IF(L541&lt;&gt;0,+H541-L541,0)</f>
        <v>0</v>
      </c>
      <c r="N131" s="485"/>
      <c r="O131" s="476">
        <f t="shared" ref="O131:O154" si="34">IF(N541&lt;&gt;0,+I541-N541,0)</f>
        <v>0</v>
      </c>
      <c r="P131" s="476">
        <f t="shared" ref="P131:P154" si="35">+O541-M541</f>
        <v>0</v>
      </c>
    </row>
    <row r="132" spans="2:16">
      <c r="B132" s="160" t="str">
        <f t="shared" si="23"/>
        <v/>
      </c>
      <c r="C132" s="470">
        <f>IF(D93="","-",+C131+1)</f>
        <v>2051</v>
      </c>
      <c r="D132" s="345">
        <f>IF(F131+SUM(E$99:E131)=D$92,F131,D$92-SUM(E$99:E131))</f>
        <v>59872.5</v>
      </c>
      <c r="E132" s="482">
        <f t="shared" si="27"/>
        <v>7045</v>
      </c>
      <c r="F132" s="483">
        <f t="shared" si="28"/>
        <v>52827.5</v>
      </c>
      <c r="G132" s="483">
        <f t="shared" si="29"/>
        <v>56350</v>
      </c>
      <c r="H132" s="611">
        <f t="shared" si="30"/>
        <v>13457.223887322985</v>
      </c>
      <c r="I132" s="612">
        <f t="shared" si="31"/>
        <v>13457.223887322985</v>
      </c>
      <c r="J132" s="476">
        <f t="shared" si="32"/>
        <v>0</v>
      </c>
      <c r="K132" s="476"/>
      <c r="L132" s="485"/>
      <c r="M132" s="476">
        <f t="shared" si="33"/>
        <v>0</v>
      </c>
      <c r="N132" s="485"/>
      <c r="O132" s="476">
        <f t="shared" si="34"/>
        <v>0</v>
      </c>
      <c r="P132" s="476">
        <f t="shared" si="35"/>
        <v>0</v>
      </c>
    </row>
    <row r="133" spans="2:16">
      <c r="B133" s="160" t="str">
        <f t="shared" si="23"/>
        <v/>
      </c>
      <c r="C133" s="470">
        <f>IF(D93="","-",+C132+1)</f>
        <v>2052</v>
      </c>
      <c r="D133" s="345">
        <f>IF(F132+SUM(E$99:E132)=D$92,F132,D$92-SUM(E$99:E132))</f>
        <v>52827.5</v>
      </c>
      <c r="E133" s="482">
        <f t="shared" si="27"/>
        <v>7045</v>
      </c>
      <c r="F133" s="483">
        <f t="shared" si="28"/>
        <v>45782.5</v>
      </c>
      <c r="G133" s="483">
        <f t="shared" si="29"/>
        <v>49305</v>
      </c>
      <c r="H133" s="611">
        <f t="shared" si="30"/>
        <v>12655.553660416323</v>
      </c>
      <c r="I133" s="612">
        <f t="shared" si="31"/>
        <v>12655.553660416323</v>
      </c>
      <c r="J133" s="476">
        <f t="shared" si="32"/>
        <v>0</v>
      </c>
      <c r="K133" s="476"/>
      <c r="L133" s="485"/>
      <c r="M133" s="476">
        <f t="shared" si="33"/>
        <v>0</v>
      </c>
      <c r="N133" s="485"/>
      <c r="O133" s="476">
        <f t="shared" si="34"/>
        <v>0</v>
      </c>
      <c r="P133" s="476">
        <f t="shared" si="35"/>
        <v>0</v>
      </c>
    </row>
    <row r="134" spans="2:16">
      <c r="B134" s="160" t="str">
        <f t="shared" si="23"/>
        <v/>
      </c>
      <c r="C134" s="470">
        <f>IF(D93="","-",+C133+1)</f>
        <v>2053</v>
      </c>
      <c r="D134" s="345">
        <f>IF(F133+SUM(E$99:E133)=D$92,F133,D$92-SUM(E$99:E133))</f>
        <v>45782.5</v>
      </c>
      <c r="E134" s="482">
        <f t="shared" si="27"/>
        <v>7045</v>
      </c>
      <c r="F134" s="483">
        <f t="shared" si="28"/>
        <v>38737.5</v>
      </c>
      <c r="G134" s="483">
        <f t="shared" si="29"/>
        <v>42260</v>
      </c>
      <c r="H134" s="611">
        <f t="shared" si="30"/>
        <v>11853.883433509662</v>
      </c>
      <c r="I134" s="612">
        <f t="shared" si="31"/>
        <v>11853.883433509662</v>
      </c>
      <c r="J134" s="476">
        <f t="shared" si="32"/>
        <v>0</v>
      </c>
      <c r="K134" s="476"/>
      <c r="L134" s="485"/>
      <c r="M134" s="476">
        <f t="shared" si="33"/>
        <v>0</v>
      </c>
      <c r="N134" s="485"/>
      <c r="O134" s="476">
        <f t="shared" si="34"/>
        <v>0</v>
      </c>
      <c r="P134" s="476">
        <f t="shared" si="35"/>
        <v>0</v>
      </c>
    </row>
    <row r="135" spans="2:16">
      <c r="B135" s="160" t="str">
        <f t="shared" si="23"/>
        <v/>
      </c>
      <c r="C135" s="470">
        <f>IF(D93="","-",+C134+1)</f>
        <v>2054</v>
      </c>
      <c r="D135" s="345">
        <f>IF(F134+SUM(E$99:E134)=D$92,F134,D$92-SUM(E$99:E134))</f>
        <v>38737.5</v>
      </c>
      <c r="E135" s="482">
        <f t="shared" si="27"/>
        <v>7045</v>
      </c>
      <c r="F135" s="483">
        <f t="shared" si="28"/>
        <v>31692.5</v>
      </c>
      <c r="G135" s="483">
        <f t="shared" si="29"/>
        <v>35215</v>
      </c>
      <c r="H135" s="611">
        <f t="shared" si="30"/>
        <v>11052.213206602999</v>
      </c>
      <c r="I135" s="612">
        <f t="shared" si="31"/>
        <v>11052.213206602999</v>
      </c>
      <c r="J135" s="476">
        <f t="shared" si="32"/>
        <v>0</v>
      </c>
      <c r="K135" s="476"/>
      <c r="L135" s="485"/>
      <c r="M135" s="476">
        <f t="shared" si="33"/>
        <v>0</v>
      </c>
      <c r="N135" s="485"/>
      <c r="O135" s="476">
        <f t="shared" si="34"/>
        <v>0</v>
      </c>
      <c r="P135" s="476">
        <f t="shared" si="35"/>
        <v>0</v>
      </c>
    </row>
    <row r="136" spans="2:16">
      <c r="B136" s="160" t="str">
        <f t="shared" si="23"/>
        <v/>
      </c>
      <c r="C136" s="470">
        <f>IF(D93="","-",+C135+1)</f>
        <v>2055</v>
      </c>
      <c r="D136" s="345">
        <f>IF(F135+SUM(E$99:E135)=D$92,F135,D$92-SUM(E$99:E135))</f>
        <v>31692.5</v>
      </c>
      <c r="E136" s="482">
        <f t="shared" si="27"/>
        <v>7045</v>
      </c>
      <c r="F136" s="483">
        <f t="shared" si="28"/>
        <v>24647.5</v>
      </c>
      <c r="G136" s="483">
        <f t="shared" si="29"/>
        <v>28170</v>
      </c>
      <c r="H136" s="611">
        <f t="shared" si="30"/>
        <v>10250.542979696336</v>
      </c>
      <c r="I136" s="612">
        <f t="shared" si="31"/>
        <v>10250.542979696336</v>
      </c>
      <c r="J136" s="476">
        <f t="shared" si="32"/>
        <v>0</v>
      </c>
      <c r="K136" s="476"/>
      <c r="L136" s="485"/>
      <c r="M136" s="476">
        <f t="shared" si="33"/>
        <v>0</v>
      </c>
      <c r="N136" s="485"/>
      <c r="O136" s="476">
        <f t="shared" si="34"/>
        <v>0</v>
      </c>
      <c r="P136" s="476">
        <f t="shared" si="35"/>
        <v>0</v>
      </c>
    </row>
    <row r="137" spans="2:16">
      <c r="B137" s="160" t="str">
        <f t="shared" si="23"/>
        <v/>
      </c>
      <c r="C137" s="470">
        <f>IF(D93="","-",+C136+1)</f>
        <v>2056</v>
      </c>
      <c r="D137" s="345">
        <f>IF(F136+SUM(E$99:E136)=D$92,F136,D$92-SUM(E$99:E136))</f>
        <v>24647.5</v>
      </c>
      <c r="E137" s="482">
        <f t="shared" si="27"/>
        <v>7045</v>
      </c>
      <c r="F137" s="483">
        <f t="shared" si="28"/>
        <v>17602.5</v>
      </c>
      <c r="G137" s="483">
        <f t="shared" si="29"/>
        <v>21125</v>
      </c>
      <c r="H137" s="611">
        <f t="shared" si="30"/>
        <v>9448.8727527896735</v>
      </c>
      <c r="I137" s="612">
        <f t="shared" si="31"/>
        <v>9448.8727527896735</v>
      </c>
      <c r="J137" s="476">
        <f t="shared" si="32"/>
        <v>0</v>
      </c>
      <c r="K137" s="476"/>
      <c r="L137" s="485"/>
      <c r="M137" s="476">
        <f t="shared" si="33"/>
        <v>0</v>
      </c>
      <c r="N137" s="485"/>
      <c r="O137" s="476">
        <f t="shared" si="34"/>
        <v>0</v>
      </c>
      <c r="P137" s="476">
        <f t="shared" si="35"/>
        <v>0</v>
      </c>
    </row>
    <row r="138" spans="2:16">
      <c r="B138" s="160" t="str">
        <f t="shared" si="23"/>
        <v/>
      </c>
      <c r="C138" s="470">
        <f>IF(D93="","-",+C137+1)</f>
        <v>2057</v>
      </c>
      <c r="D138" s="345">
        <f>IF(F137+SUM(E$99:E137)=D$92,F137,D$92-SUM(E$99:E137))</f>
        <v>17602.5</v>
      </c>
      <c r="E138" s="482">
        <f t="shared" si="27"/>
        <v>7045</v>
      </c>
      <c r="F138" s="483">
        <f t="shared" si="28"/>
        <v>10557.5</v>
      </c>
      <c r="G138" s="483">
        <f t="shared" si="29"/>
        <v>14080</v>
      </c>
      <c r="H138" s="611">
        <f t="shared" si="30"/>
        <v>8647.2025258830108</v>
      </c>
      <c r="I138" s="612">
        <f t="shared" si="31"/>
        <v>8647.2025258830108</v>
      </c>
      <c r="J138" s="476">
        <f t="shared" si="32"/>
        <v>0</v>
      </c>
      <c r="K138" s="476"/>
      <c r="L138" s="485"/>
      <c r="M138" s="476">
        <f t="shared" si="33"/>
        <v>0</v>
      </c>
      <c r="N138" s="485"/>
      <c r="O138" s="476">
        <f t="shared" si="34"/>
        <v>0</v>
      </c>
      <c r="P138" s="476">
        <f t="shared" si="35"/>
        <v>0</v>
      </c>
    </row>
    <row r="139" spans="2:16">
      <c r="B139" s="160" t="str">
        <f t="shared" si="23"/>
        <v/>
      </c>
      <c r="C139" s="470">
        <f>IF(D93="","-",+C138+1)</f>
        <v>2058</v>
      </c>
      <c r="D139" s="345">
        <f>IF(F138+SUM(E$99:E138)=D$92,F138,D$92-SUM(E$99:E138))</f>
        <v>10557.5</v>
      </c>
      <c r="E139" s="482">
        <f t="shared" si="27"/>
        <v>7045</v>
      </c>
      <c r="F139" s="483">
        <f t="shared" si="28"/>
        <v>3512.5</v>
      </c>
      <c r="G139" s="483">
        <f t="shared" si="29"/>
        <v>7035</v>
      </c>
      <c r="H139" s="611">
        <f t="shared" si="30"/>
        <v>7845.5322989763481</v>
      </c>
      <c r="I139" s="612">
        <f t="shared" si="31"/>
        <v>7845.5322989763481</v>
      </c>
      <c r="J139" s="476">
        <f t="shared" si="32"/>
        <v>0</v>
      </c>
      <c r="K139" s="476"/>
      <c r="L139" s="485"/>
      <c r="M139" s="476">
        <f t="shared" si="33"/>
        <v>0</v>
      </c>
      <c r="N139" s="485"/>
      <c r="O139" s="476">
        <f t="shared" si="34"/>
        <v>0</v>
      </c>
      <c r="P139" s="476">
        <f t="shared" si="35"/>
        <v>0</v>
      </c>
    </row>
    <row r="140" spans="2:16">
      <c r="B140" s="160" t="str">
        <f t="shared" si="23"/>
        <v/>
      </c>
      <c r="C140" s="470">
        <f>IF(D93="","-",+C139+1)</f>
        <v>2059</v>
      </c>
      <c r="D140" s="345">
        <f>IF(F139+SUM(E$99:E139)=D$92,F139,D$92-SUM(E$99:E139))</f>
        <v>3512.5</v>
      </c>
      <c r="E140" s="482">
        <f t="shared" si="27"/>
        <v>3512.5</v>
      </c>
      <c r="F140" s="483">
        <f t="shared" si="28"/>
        <v>0</v>
      </c>
      <c r="G140" s="483">
        <f t="shared" si="29"/>
        <v>1756.25</v>
      </c>
      <c r="H140" s="611">
        <f t="shared" si="30"/>
        <v>3712.3485927615084</v>
      </c>
      <c r="I140" s="612">
        <f t="shared" si="31"/>
        <v>3712.3485927615084</v>
      </c>
      <c r="J140" s="476">
        <f t="shared" si="32"/>
        <v>0</v>
      </c>
      <c r="K140" s="476"/>
      <c r="L140" s="485"/>
      <c r="M140" s="476">
        <f t="shared" si="33"/>
        <v>0</v>
      </c>
      <c r="N140" s="485"/>
      <c r="O140" s="476">
        <f t="shared" si="34"/>
        <v>0</v>
      </c>
      <c r="P140" s="476">
        <f t="shared" si="35"/>
        <v>0</v>
      </c>
    </row>
    <row r="141" spans="2:16">
      <c r="B141" s="160" t="str">
        <f t="shared" si="23"/>
        <v/>
      </c>
      <c r="C141" s="470">
        <f>IF(D93="","-",+C140+1)</f>
        <v>2060</v>
      </c>
      <c r="D141" s="345">
        <f>IF(F140+SUM(E$99:E140)=D$92,F140,D$92-SUM(E$99:E140))</f>
        <v>0</v>
      </c>
      <c r="E141" s="482">
        <f t="shared" si="27"/>
        <v>0</v>
      </c>
      <c r="F141" s="483">
        <f t="shared" si="28"/>
        <v>0</v>
      </c>
      <c r="G141" s="483">
        <f t="shared" si="29"/>
        <v>0</v>
      </c>
      <c r="H141" s="611">
        <f t="shared" si="30"/>
        <v>0</v>
      </c>
      <c r="I141" s="612">
        <f t="shared" si="31"/>
        <v>0</v>
      </c>
      <c r="J141" s="476">
        <f t="shared" si="32"/>
        <v>0</v>
      </c>
      <c r="K141" s="476"/>
      <c r="L141" s="485"/>
      <c r="M141" s="476">
        <f t="shared" si="33"/>
        <v>0</v>
      </c>
      <c r="N141" s="485"/>
      <c r="O141" s="476">
        <f t="shared" si="34"/>
        <v>0</v>
      </c>
      <c r="P141" s="476">
        <f t="shared" si="35"/>
        <v>0</v>
      </c>
    </row>
    <row r="142" spans="2:16">
      <c r="B142" s="160" t="str">
        <f t="shared" si="23"/>
        <v/>
      </c>
      <c r="C142" s="470">
        <f>IF(D93="","-",+C141+1)</f>
        <v>2061</v>
      </c>
      <c r="D142" s="345">
        <f>IF(F141+SUM(E$99:E141)=D$92,F141,D$92-SUM(E$99:E141))</f>
        <v>0</v>
      </c>
      <c r="E142" s="482">
        <f t="shared" si="27"/>
        <v>0</v>
      </c>
      <c r="F142" s="483">
        <f t="shared" si="28"/>
        <v>0</v>
      </c>
      <c r="G142" s="483">
        <f t="shared" si="29"/>
        <v>0</v>
      </c>
      <c r="H142" s="611">
        <f t="shared" si="30"/>
        <v>0</v>
      </c>
      <c r="I142" s="612">
        <f t="shared" si="31"/>
        <v>0</v>
      </c>
      <c r="J142" s="476">
        <f t="shared" si="32"/>
        <v>0</v>
      </c>
      <c r="K142" s="476"/>
      <c r="L142" s="485"/>
      <c r="M142" s="476">
        <f t="shared" si="33"/>
        <v>0</v>
      </c>
      <c r="N142" s="485"/>
      <c r="O142" s="476">
        <f t="shared" si="34"/>
        <v>0</v>
      </c>
      <c r="P142" s="476">
        <f t="shared" si="35"/>
        <v>0</v>
      </c>
    </row>
    <row r="143" spans="2:16">
      <c r="B143" s="160" t="str">
        <f t="shared" si="23"/>
        <v/>
      </c>
      <c r="C143" s="470">
        <f>IF(D93="","-",+C142+1)</f>
        <v>2062</v>
      </c>
      <c r="D143" s="345">
        <f>IF(F142+SUM(E$99:E142)=D$92,F142,D$92-SUM(E$99:E142))</f>
        <v>0</v>
      </c>
      <c r="E143" s="482">
        <f t="shared" si="27"/>
        <v>0</v>
      </c>
      <c r="F143" s="483">
        <f t="shared" si="28"/>
        <v>0</v>
      </c>
      <c r="G143" s="483">
        <f t="shared" si="29"/>
        <v>0</v>
      </c>
      <c r="H143" s="611">
        <f t="shared" si="30"/>
        <v>0</v>
      </c>
      <c r="I143" s="612">
        <f t="shared" si="31"/>
        <v>0</v>
      </c>
      <c r="J143" s="476">
        <f t="shared" si="32"/>
        <v>0</v>
      </c>
      <c r="K143" s="476"/>
      <c r="L143" s="485"/>
      <c r="M143" s="476">
        <f t="shared" si="33"/>
        <v>0</v>
      </c>
      <c r="N143" s="485"/>
      <c r="O143" s="476">
        <f t="shared" si="34"/>
        <v>0</v>
      </c>
      <c r="P143" s="476">
        <f t="shared" si="35"/>
        <v>0</v>
      </c>
    </row>
    <row r="144" spans="2:16">
      <c r="B144" s="160" t="str">
        <f t="shared" si="23"/>
        <v/>
      </c>
      <c r="C144" s="470">
        <f>IF(D93="","-",+C143+1)</f>
        <v>2063</v>
      </c>
      <c r="D144" s="345">
        <f>IF(F143+SUM(E$99:E143)=D$92,F143,D$92-SUM(E$99:E143))</f>
        <v>0</v>
      </c>
      <c r="E144" s="482">
        <f t="shared" si="27"/>
        <v>0</v>
      </c>
      <c r="F144" s="483">
        <f t="shared" si="28"/>
        <v>0</v>
      </c>
      <c r="G144" s="483">
        <f t="shared" si="29"/>
        <v>0</v>
      </c>
      <c r="H144" s="611">
        <f t="shared" si="30"/>
        <v>0</v>
      </c>
      <c r="I144" s="612">
        <f t="shared" si="31"/>
        <v>0</v>
      </c>
      <c r="J144" s="476">
        <f t="shared" si="32"/>
        <v>0</v>
      </c>
      <c r="K144" s="476"/>
      <c r="L144" s="485"/>
      <c r="M144" s="476">
        <f t="shared" si="33"/>
        <v>0</v>
      </c>
      <c r="N144" s="485"/>
      <c r="O144" s="476">
        <f t="shared" si="34"/>
        <v>0</v>
      </c>
      <c r="P144" s="476">
        <f t="shared" si="35"/>
        <v>0</v>
      </c>
    </row>
    <row r="145" spans="2:16">
      <c r="B145" s="160" t="str">
        <f t="shared" si="23"/>
        <v/>
      </c>
      <c r="C145" s="470">
        <f>IF(D93="","-",+C144+1)</f>
        <v>2064</v>
      </c>
      <c r="D145" s="345">
        <f>IF(F144+SUM(E$99:E144)=D$92,F144,D$92-SUM(E$99:E144))</f>
        <v>0</v>
      </c>
      <c r="E145" s="482">
        <f t="shared" si="27"/>
        <v>0</v>
      </c>
      <c r="F145" s="483">
        <f t="shared" si="28"/>
        <v>0</v>
      </c>
      <c r="G145" s="483">
        <f t="shared" si="29"/>
        <v>0</v>
      </c>
      <c r="H145" s="611">
        <f t="shared" si="30"/>
        <v>0</v>
      </c>
      <c r="I145" s="612">
        <f t="shared" si="31"/>
        <v>0</v>
      </c>
      <c r="J145" s="476">
        <f t="shared" si="32"/>
        <v>0</v>
      </c>
      <c r="K145" s="476"/>
      <c r="L145" s="485"/>
      <c r="M145" s="476">
        <f t="shared" si="33"/>
        <v>0</v>
      </c>
      <c r="N145" s="485"/>
      <c r="O145" s="476">
        <f t="shared" si="34"/>
        <v>0</v>
      </c>
      <c r="P145" s="476">
        <f t="shared" si="35"/>
        <v>0</v>
      </c>
    </row>
    <row r="146" spans="2:16">
      <c r="B146" s="160" t="str">
        <f t="shared" si="23"/>
        <v/>
      </c>
      <c r="C146" s="470">
        <f>IF(D93="","-",+C145+1)</f>
        <v>2065</v>
      </c>
      <c r="D146" s="345">
        <f>IF(F145+SUM(E$99:E145)=D$92,F145,D$92-SUM(E$99:E145))</f>
        <v>0</v>
      </c>
      <c r="E146" s="482">
        <f t="shared" si="27"/>
        <v>0</v>
      </c>
      <c r="F146" s="483">
        <f t="shared" si="28"/>
        <v>0</v>
      </c>
      <c r="G146" s="483">
        <f t="shared" si="29"/>
        <v>0</v>
      </c>
      <c r="H146" s="611">
        <f t="shared" si="30"/>
        <v>0</v>
      </c>
      <c r="I146" s="612">
        <f t="shared" si="31"/>
        <v>0</v>
      </c>
      <c r="J146" s="476">
        <f t="shared" si="32"/>
        <v>0</v>
      </c>
      <c r="K146" s="476"/>
      <c r="L146" s="485"/>
      <c r="M146" s="476">
        <f t="shared" si="33"/>
        <v>0</v>
      </c>
      <c r="N146" s="485"/>
      <c r="O146" s="476">
        <f t="shared" si="34"/>
        <v>0</v>
      </c>
      <c r="P146" s="476">
        <f t="shared" si="35"/>
        <v>0</v>
      </c>
    </row>
    <row r="147" spans="2:16">
      <c r="B147" s="160" t="str">
        <f t="shared" si="23"/>
        <v/>
      </c>
      <c r="C147" s="470">
        <f>IF(D93="","-",+C146+1)</f>
        <v>2066</v>
      </c>
      <c r="D147" s="345">
        <f>IF(F146+SUM(E$99:E146)=D$92,F146,D$92-SUM(E$99:E146))</f>
        <v>0</v>
      </c>
      <c r="E147" s="482">
        <f t="shared" si="27"/>
        <v>0</v>
      </c>
      <c r="F147" s="483">
        <f t="shared" si="28"/>
        <v>0</v>
      </c>
      <c r="G147" s="483">
        <f t="shared" si="29"/>
        <v>0</v>
      </c>
      <c r="H147" s="611">
        <f t="shared" si="30"/>
        <v>0</v>
      </c>
      <c r="I147" s="612">
        <f t="shared" si="31"/>
        <v>0</v>
      </c>
      <c r="J147" s="476">
        <f t="shared" si="32"/>
        <v>0</v>
      </c>
      <c r="K147" s="476"/>
      <c r="L147" s="485"/>
      <c r="M147" s="476">
        <f t="shared" si="33"/>
        <v>0</v>
      </c>
      <c r="N147" s="485"/>
      <c r="O147" s="476">
        <f t="shared" si="34"/>
        <v>0</v>
      </c>
      <c r="P147" s="476">
        <f t="shared" si="35"/>
        <v>0</v>
      </c>
    </row>
    <row r="148" spans="2:16">
      <c r="B148" s="160" t="str">
        <f t="shared" si="23"/>
        <v/>
      </c>
      <c r="C148" s="470">
        <f>IF(D93="","-",+C147+1)</f>
        <v>2067</v>
      </c>
      <c r="D148" s="345">
        <f>IF(F147+SUM(E$99:E147)=D$92,F147,D$92-SUM(E$99:E147))</f>
        <v>0</v>
      </c>
      <c r="E148" s="482">
        <f t="shared" si="27"/>
        <v>0</v>
      </c>
      <c r="F148" s="483">
        <f t="shared" si="28"/>
        <v>0</v>
      </c>
      <c r="G148" s="483">
        <f t="shared" si="29"/>
        <v>0</v>
      </c>
      <c r="H148" s="611">
        <f t="shared" si="30"/>
        <v>0</v>
      </c>
      <c r="I148" s="612">
        <f t="shared" si="31"/>
        <v>0</v>
      </c>
      <c r="J148" s="476">
        <f t="shared" si="32"/>
        <v>0</v>
      </c>
      <c r="K148" s="476"/>
      <c r="L148" s="485"/>
      <c r="M148" s="476">
        <f t="shared" si="33"/>
        <v>0</v>
      </c>
      <c r="N148" s="485"/>
      <c r="O148" s="476">
        <f t="shared" si="34"/>
        <v>0</v>
      </c>
      <c r="P148" s="476">
        <f t="shared" si="35"/>
        <v>0</v>
      </c>
    </row>
    <row r="149" spans="2:16">
      <c r="B149" s="160" t="str">
        <f t="shared" si="23"/>
        <v/>
      </c>
      <c r="C149" s="470">
        <f>IF(D93="","-",+C148+1)</f>
        <v>2068</v>
      </c>
      <c r="D149" s="345">
        <f>IF(F148+SUM(E$99:E148)=D$92,F148,D$92-SUM(E$99:E148))</f>
        <v>0</v>
      </c>
      <c r="E149" s="482">
        <f t="shared" si="27"/>
        <v>0</v>
      </c>
      <c r="F149" s="483">
        <f t="shared" si="28"/>
        <v>0</v>
      </c>
      <c r="G149" s="483">
        <f t="shared" si="29"/>
        <v>0</v>
      </c>
      <c r="H149" s="611">
        <f t="shared" si="30"/>
        <v>0</v>
      </c>
      <c r="I149" s="612">
        <f t="shared" si="31"/>
        <v>0</v>
      </c>
      <c r="J149" s="476">
        <f t="shared" si="32"/>
        <v>0</v>
      </c>
      <c r="K149" s="476"/>
      <c r="L149" s="485"/>
      <c r="M149" s="476">
        <f t="shared" si="33"/>
        <v>0</v>
      </c>
      <c r="N149" s="485"/>
      <c r="O149" s="476">
        <f t="shared" si="34"/>
        <v>0</v>
      </c>
      <c r="P149" s="476">
        <f t="shared" si="35"/>
        <v>0</v>
      </c>
    </row>
    <row r="150" spans="2:16">
      <c r="B150" s="160" t="str">
        <f t="shared" si="23"/>
        <v/>
      </c>
      <c r="C150" s="470">
        <f>IF(D93="","-",+C149+1)</f>
        <v>2069</v>
      </c>
      <c r="D150" s="345">
        <f>IF(F149+SUM(E$99:E149)=D$92,F149,D$92-SUM(E$99:E149))</f>
        <v>0</v>
      </c>
      <c r="E150" s="482">
        <f t="shared" si="27"/>
        <v>0</v>
      </c>
      <c r="F150" s="483">
        <f t="shared" si="28"/>
        <v>0</v>
      </c>
      <c r="G150" s="483">
        <f t="shared" si="29"/>
        <v>0</v>
      </c>
      <c r="H150" s="611">
        <f t="shared" si="30"/>
        <v>0</v>
      </c>
      <c r="I150" s="612">
        <f t="shared" si="31"/>
        <v>0</v>
      </c>
      <c r="J150" s="476">
        <f t="shared" si="32"/>
        <v>0</v>
      </c>
      <c r="K150" s="476"/>
      <c r="L150" s="485"/>
      <c r="M150" s="476">
        <f t="shared" si="33"/>
        <v>0</v>
      </c>
      <c r="N150" s="485"/>
      <c r="O150" s="476">
        <f t="shared" si="34"/>
        <v>0</v>
      </c>
      <c r="P150" s="476">
        <f t="shared" si="35"/>
        <v>0</v>
      </c>
    </row>
    <row r="151" spans="2:16">
      <c r="B151" s="160" t="str">
        <f t="shared" si="23"/>
        <v/>
      </c>
      <c r="C151" s="470">
        <f>IF(D93="","-",+C150+1)</f>
        <v>2070</v>
      </c>
      <c r="D151" s="345">
        <f>IF(F150+SUM(E$99:E150)=D$92,F150,D$92-SUM(E$99:E150))</f>
        <v>0</v>
      </c>
      <c r="E151" s="482">
        <f t="shared" si="27"/>
        <v>0</v>
      </c>
      <c r="F151" s="483">
        <f t="shared" si="28"/>
        <v>0</v>
      </c>
      <c r="G151" s="483">
        <f t="shared" si="29"/>
        <v>0</v>
      </c>
      <c r="H151" s="611">
        <f t="shared" si="30"/>
        <v>0</v>
      </c>
      <c r="I151" s="612">
        <f t="shared" si="31"/>
        <v>0</v>
      </c>
      <c r="J151" s="476">
        <f t="shared" si="32"/>
        <v>0</v>
      </c>
      <c r="K151" s="476"/>
      <c r="L151" s="485"/>
      <c r="M151" s="476">
        <f t="shared" si="33"/>
        <v>0</v>
      </c>
      <c r="N151" s="485"/>
      <c r="O151" s="476">
        <f t="shared" si="34"/>
        <v>0</v>
      </c>
      <c r="P151" s="476">
        <f t="shared" si="35"/>
        <v>0</v>
      </c>
    </row>
    <row r="152" spans="2:16">
      <c r="B152" s="160" t="str">
        <f t="shared" si="23"/>
        <v/>
      </c>
      <c r="C152" s="470">
        <f>IF(D93="","-",+C151+1)</f>
        <v>2071</v>
      </c>
      <c r="D152" s="345">
        <f>IF(F151+SUM(E$99:E151)=D$92,F151,D$92-SUM(E$99:E151))</f>
        <v>0</v>
      </c>
      <c r="E152" s="482">
        <f t="shared" si="27"/>
        <v>0</v>
      </c>
      <c r="F152" s="483">
        <f t="shared" si="28"/>
        <v>0</v>
      </c>
      <c r="G152" s="483">
        <f t="shared" si="29"/>
        <v>0</v>
      </c>
      <c r="H152" s="611">
        <f t="shared" si="30"/>
        <v>0</v>
      </c>
      <c r="I152" s="612">
        <f t="shared" si="31"/>
        <v>0</v>
      </c>
      <c r="J152" s="476">
        <f t="shared" si="32"/>
        <v>0</v>
      </c>
      <c r="K152" s="476"/>
      <c r="L152" s="485"/>
      <c r="M152" s="476">
        <f t="shared" si="33"/>
        <v>0</v>
      </c>
      <c r="N152" s="485"/>
      <c r="O152" s="476">
        <f t="shared" si="34"/>
        <v>0</v>
      </c>
      <c r="P152" s="476">
        <f t="shared" si="35"/>
        <v>0</v>
      </c>
    </row>
    <row r="153" spans="2:16">
      <c r="B153" s="160" t="str">
        <f t="shared" si="23"/>
        <v/>
      </c>
      <c r="C153" s="470">
        <f>IF(D93="","-",+C152+1)</f>
        <v>2072</v>
      </c>
      <c r="D153" s="345">
        <f>IF(F152+SUM(E$99:E152)=D$92,F152,D$92-SUM(E$99:E152))</f>
        <v>0</v>
      </c>
      <c r="E153" s="482">
        <f t="shared" si="27"/>
        <v>0</v>
      </c>
      <c r="F153" s="483">
        <f t="shared" si="28"/>
        <v>0</v>
      </c>
      <c r="G153" s="483">
        <f t="shared" si="29"/>
        <v>0</v>
      </c>
      <c r="H153" s="611">
        <f t="shared" si="30"/>
        <v>0</v>
      </c>
      <c r="I153" s="612">
        <f t="shared" si="31"/>
        <v>0</v>
      </c>
      <c r="J153" s="476">
        <f t="shared" si="32"/>
        <v>0</v>
      </c>
      <c r="K153" s="476"/>
      <c r="L153" s="485"/>
      <c r="M153" s="476">
        <f t="shared" si="33"/>
        <v>0</v>
      </c>
      <c r="N153" s="485"/>
      <c r="O153" s="476">
        <f t="shared" si="34"/>
        <v>0</v>
      </c>
      <c r="P153" s="476">
        <f t="shared" si="35"/>
        <v>0</v>
      </c>
    </row>
    <row r="154" spans="2:16" ht="13.5" thickBot="1">
      <c r="B154" s="160" t="str">
        <f t="shared" si="23"/>
        <v/>
      </c>
      <c r="C154" s="487">
        <f>IF(D93="","-",+C153+1)</f>
        <v>2073</v>
      </c>
      <c r="D154" s="541">
        <f>IF(F153+SUM(E$99:E153)=D$92,F153,D$92-SUM(E$99:E153))</f>
        <v>0</v>
      </c>
      <c r="E154" s="489">
        <f t="shared" si="27"/>
        <v>0</v>
      </c>
      <c r="F154" s="488">
        <f t="shared" si="28"/>
        <v>0</v>
      </c>
      <c r="G154" s="488">
        <f t="shared" si="29"/>
        <v>0</v>
      </c>
      <c r="H154" s="613">
        <f t="shared" si="30"/>
        <v>0</v>
      </c>
      <c r="I154" s="614">
        <f t="shared" si="31"/>
        <v>0</v>
      </c>
      <c r="J154" s="493">
        <f t="shared" si="32"/>
        <v>0</v>
      </c>
      <c r="K154" s="476"/>
      <c r="L154" s="492"/>
      <c r="M154" s="493">
        <f t="shared" si="33"/>
        <v>0</v>
      </c>
      <c r="N154" s="492"/>
      <c r="O154" s="493">
        <f t="shared" si="34"/>
        <v>0</v>
      </c>
      <c r="P154" s="493">
        <f t="shared" si="35"/>
        <v>0</v>
      </c>
    </row>
    <row r="155" spans="2:16">
      <c r="C155" s="345" t="s">
        <v>77</v>
      </c>
      <c r="D155" s="346"/>
      <c r="E155" s="346">
        <f>SUM(E99:E154)</f>
        <v>288860</v>
      </c>
      <c r="F155" s="346"/>
      <c r="G155" s="346"/>
      <c r="H155" s="346">
        <f>SUM(H99:H154)</f>
        <v>958271.47116782633</v>
      </c>
      <c r="I155" s="346">
        <f>SUM(I99:I154)</f>
        <v>958271.47116782633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19" priority="1" stopIfTrue="1" operator="equal">
      <formula>$I$10</formula>
    </cfRule>
  </conditionalFormatting>
  <conditionalFormatting sqref="C99:C154">
    <cfRule type="cellIs" dxfId="18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162"/>
  <sheetViews>
    <sheetView topLeftCell="A85" zoomScale="86" zoomScaleNormal="86" workbookViewId="0">
      <selection activeCell="D99" sqref="D99:I10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26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1038787.3238188896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1038787.3238188896</v>
      </c>
      <c r="O6" s="231"/>
      <c r="P6" s="231"/>
    </row>
    <row r="7" spans="1:16" ht="13.5" thickBot="1">
      <c r="C7" s="429" t="s">
        <v>46</v>
      </c>
      <c r="D7" s="104" t="s">
        <v>332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/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334</v>
      </c>
      <c r="E9" s="621" t="s">
        <v>341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8147276.8700000001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2019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12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214402.02289473685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2019</v>
      </c>
      <c r="D17" s="582">
        <v>0</v>
      </c>
      <c r="E17" s="583">
        <v>0</v>
      </c>
      <c r="F17" s="582">
        <v>5024000</v>
      </c>
      <c r="G17" s="583">
        <v>280481.45781944925</v>
      </c>
      <c r="H17" s="585">
        <v>280481.45781944925</v>
      </c>
      <c r="I17" s="473">
        <f>H17-G17</f>
        <v>0</v>
      </c>
      <c r="J17" s="473"/>
      <c r="K17" s="552">
        <f>+G17</f>
        <v>280481.45781944925</v>
      </c>
      <c r="L17" s="475">
        <f t="shared" ref="L17:L18" si="0">IF(K17&lt;&gt;0,+G17-K17,0)</f>
        <v>0</v>
      </c>
      <c r="M17" s="552">
        <f>+H17</f>
        <v>280481.45781944925</v>
      </c>
      <c r="N17" s="475">
        <f t="shared" ref="N17:N72" si="1">IF(M17&lt;&gt;0,+H17-M17,0)</f>
        <v>0</v>
      </c>
      <c r="O17" s="476">
        <f t="shared" ref="O17:O72" si="2">+N17-L17</f>
        <v>0</v>
      </c>
      <c r="P17" s="241"/>
    </row>
    <row r="18" spans="2:16">
      <c r="B18" s="160" t="str">
        <f>IF(D18=F17,"","IU")</f>
        <v>IU</v>
      </c>
      <c r="C18" s="470">
        <f>IF(D11="","-",+C17+1)</f>
        <v>2020</v>
      </c>
      <c r="D18" s="582">
        <v>7156000</v>
      </c>
      <c r="E18" s="583">
        <v>170380.95238095237</v>
      </c>
      <c r="F18" s="582">
        <v>6985619.0476190476</v>
      </c>
      <c r="G18" s="583">
        <v>934062.15757277235</v>
      </c>
      <c r="H18" s="585">
        <v>934062.15757277235</v>
      </c>
      <c r="I18" s="473">
        <f>H18-G18</f>
        <v>0</v>
      </c>
      <c r="J18" s="473"/>
      <c r="K18" s="476">
        <f>+G18</f>
        <v>934062.15757277235</v>
      </c>
      <c r="L18" s="476">
        <f t="shared" si="0"/>
        <v>0</v>
      </c>
      <c r="M18" s="476">
        <f>+H18</f>
        <v>934062.15757277235</v>
      </c>
      <c r="N18" s="476">
        <f t="shared" si="1"/>
        <v>0</v>
      </c>
      <c r="O18" s="476">
        <f t="shared" si="2"/>
        <v>0</v>
      </c>
      <c r="P18" s="241"/>
    </row>
    <row r="19" spans="2:16">
      <c r="B19" s="160" t="str">
        <f>IF(D19=F18,"","IU")</f>
        <v>IU</v>
      </c>
      <c r="C19" s="470">
        <f>IF(D11="","-",+C18+1)</f>
        <v>2021</v>
      </c>
      <c r="D19" s="582">
        <v>9239264.0476190485</v>
      </c>
      <c r="E19" s="583">
        <v>218828.95348837209</v>
      </c>
      <c r="F19" s="582">
        <v>9020435.0941306762</v>
      </c>
      <c r="G19" s="583">
        <v>1203224.4158022963</v>
      </c>
      <c r="H19" s="585">
        <v>1203224.4158022963</v>
      </c>
      <c r="I19" s="473">
        <f t="shared" ref="I19:I71" si="3">H19-G19</f>
        <v>0</v>
      </c>
      <c r="J19" s="473"/>
      <c r="K19" s="476">
        <f>+G19</f>
        <v>1203224.4158022963</v>
      </c>
      <c r="L19" s="476">
        <f t="shared" ref="L19" si="4">IF(K19&lt;&gt;0,+G19-K19,0)</f>
        <v>0</v>
      </c>
      <c r="M19" s="476">
        <f>+H19</f>
        <v>1203224.4158022963</v>
      </c>
      <c r="N19" s="476">
        <f t="shared" si="1"/>
        <v>0</v>
      </c>
      <c r="O19" s="476">
        <f t="shared" si="2"/>
        <v>0</v>
      </c>
      <c r="P19" s="241"/>
    </row>
    <row r="20" spans="2:16">
      <c r="B20" s="160" t="str">
        <f t="shared" ref="B20:B72" si="5">IF(D20=F19,"","IU")</f>
        <v>IU</v>
      </c>
      <c r="C20" s="470">
        <f>IF(D11="","-",+C19+1)</f>
        <v>2022</v>
      </c>
      <c r="D20" s="582">
        <v>7758491.0941306753</v>
      </c>
      <c r="E20" s="583">
        <v>193992.88095238095</v>
      </c>
      <c r="F20" s="582">
        <v>7564498.2131782947</v>
      </c>
      <c r="G20" s="583">
        <v>1019988.1643084703</v>
      </c>
      <c r="H20" s="585">
        <v>1019988.1643084703</v>
      </c>
      <c r="I20" s="473">
        <f t="shared" si="3"/>
        <v>0</v>
      </c>
      <c r="J20" s="473"/>
      <c r="K20" s="476">
        <f>+G20</f>
        <v>1019988.1643084703</v>
      </c>
      <c r="L20" s="476">
        <f t="shared" ref="L20" si="6">IF(K20&lt;&gt;0,+G20-K20,0)</f>
        <v>0</v>
      </c>
      <c r="M20" s="476">
        <f>+H20</f>
        <v>1019988.1643084703</v>
      </c>
      <c r="N20" s="476">
        <f t="shared" si="1"/>
        <v>0</v>
      </c>
      <c r="O20" s="476">
        <f t="shared" si="2"/>
        <v>0</v>
      </c>
      <c r="P20" s="241"/>
    </row>
    <row r="21" spans="2:16">
      <c r="B21" s="160" t="str">
        <f t="shared" si="5"/>
        <v>IU</v>
      </c>
      <c r="C21" s="470">
        <f>IF(D11="","-",+C20+1)</f>
        <v>2023</v>
      </c>
      <c r="D21" s="582">
        <v>7564074.0831782948</v>
      </c>
      <c r="E21" s="583">
        <v>208904.53512820514</v>
      </c>
      <c r="F21" s="582">
        <v>7355169.5480500897</v>
      </c>
      <c r="G21" s="583">
        <v>1099277.167336459</v>
      </c>
      <c r="H21" s="585">
        <v>1099277.167336459</v>
      </c>
      <c r="I21" s="473">
        <f t="shared" si="3"/>
        <v>0</v>
      </c>
      <c r="J21" s="473"/>
      <c r="K21" s="476">
        <f>+G21</f>
        <v>1099277.167336459</v>
      </c>
      <c r="L21" s="476">
        <f t="shared" ref="L21" si="7">IF(K21&lt;&gt;0,+G21-K21,0)</f>
        <v>0</v>
      </c>
      <c r="M21" s="476">
        <f>+H21</f>
        <v>1099277.167336459</v>
      </c>
      <c r="N21" s="476">
        <f t="shared" ref="N21" si="8">IF(M21&lt;&gt;0,+H21-M21,0)</f>
        <v>0</v>
      </c>
      <c r="O21" s="476">
        <f t="shared" ref="O21" si="9">+N21-L21</f>
        <v>0</v>
      </c>
      <c r="P21" s="241"/>
    </row>
    <row r="22" spans="2:16">
      <c r="B22" s="160" t="str">
        <f t="shared" si="5"/>
        <v/>
      </c>
      <c r="C22" s="631">
        <f>IF(D11="","-",+C21+1)</f>
        <v>2024</v>
      </c>
      <c r="D22" s="481">
        <f>IF(F21+SUM(E$17:E21)=D$10,F21,D$10-SUM(E$17:E21))</f>
        <v>7355169.5480500897</v>
      </c>
      <c r="E22" s="482">
        <f t="shared" ref="E22:E71" si="10">IF(+I$14&lt;F21,I$14,D22)</f>
        <v>214402.02289473685</v>
      </c>
      <c r="F22" s="483">
        <f t="shared" ref="F22:F71" si="11">+D22-E22</f>
        <v>7140767.5251553524</v>
      </c>
      <c r="G22" s="484">
        <f t="shared" ref="G22:G71" si="12">(D22+F22)/2*I$12+E22</f>
        <v>1038787.3238188896</v>
      </c>
      <c r="H22" s="453">
        <f t="shared" ref="H22:H71" si="13">+(D22+F22)/2*I$13+E22</f>
        <v>1038787.3238188896</v>
      </c>
      <c r="I22" s="473">
        <f t="shared" si="3"/>
        <v>0</v>
      </c>
      <c r="J22" s="473"/>
      <c r="K22" s="485"/>
      <c r="L22" s="476">
        <f t="shared" ref="L22:L72" si="14">IF(K22&lt;&gt;0,+G22-K22,0)</f>
        <v>0</v>
      </c>
      <c r="M22" s="485"/>
      <c r="N22" s="476">
        <f t="shared" si="1"/>
        <v>0</v>
      </c>
      <c r="O22" s="476">
        <f t="shared" si="2"/>
        <v>0</v>
      </c>
      <c r="P22" s="241"/>
    </row>
    <row r="23" spans="2:16">
      <c r="B23" s="160" t="str">
        <f t="shared" si="5"/>
        <v/>
      </c>
      <c r="C23" s="470">
        <f>IF(D11="","-",+C22+1)</f>
        <v>2025</v>
      </c>
      <c r="D23" s="481">
        <f>IF(F22+SUM(E$17:E22)=D$10,F22,D$10-SUM(E$17:E22))</f>
        <v>7140767.5251553524</v>
      </c>
      <c r="E23" s="482">
        <f t="shared" si="10"/>
        <v>214402.02289473685</v>
      </c>
      <c r="F23" s="483">
        <f t="shared" si="11"/>
        <v>6926365.502260616</v>
      </c>
      <c r="G23" s="484">
        <f t="shared" si="12"/>
        <v>1014401.1975173989</v>
      </c>
      <c r="H23" s="453">
        <f t="shared" si="13"/>
        <v>1014401.1975173989</v>
      </c>
      <c r="I23" s="473">
        <f t="shared" si="3"/>
        <v>0</v>
      </c>
      <c r="J23" s="473"/>
      <c r="K23" s="485"/>
      <c r="L23" s="476">
        <f t="shared" si="14"/>
        <v>0</v>
      </c>
      <c r="M23" s="485"/>
      <c r="N23" s="476">
        <f t="shared" si="1"/>
        <v>0</v>
      </c>
      <c r="O23" s="476">
        <f t="shared" si="2"/>
        <v>0</v>
      </c>
      <c r="P23" s="241"/>
    </row>
    <row r="24" spans="2:16">
      <c r="B24" s="160" t="str">
        <f t="shared" si="5"/>
        <v/>
      </c>
      <c r="C24" s="470">
        <f>IF(D11="","-",+C23+1)</f>
        <v>2026</v>
      </c>
      <c r="D24" s="481">
        <f>IF(F23+SUM(E$17:E23)=D$10,F23,D$10-SUM(E$17:E23))</f>
        <v>6926365.502260616</v>
      </c>
      <c r="E24" s="482">
        <f t="shared" si="10"/>
        <v>214402.02289473685</v>
      </c>
      <c r="F24" s="483">
        <f t="shared" si="11"/>
        <v>6711963.4793658797</v>
      </c>
      <c r="G24" s="484">
        <f t="shared" si="12"/>
        <v>990015.07121590828</v>
      </c>
      <c r="H24" s="453">
        <f t="shared" si="13"/>
        <v>990015.07121590828</v>
      </c>
      <c r="I24" s="473">
        <f t="shared" si="3"/>
        <v>0</v>
      </c>
      <c r="J24" s="473"/>
      <c r="K24" s="485"/>
      <c r="L24" s="476">
        <f t="shared" si="14"/>
        <v>0</v>
      </c>
      <c r="M24" s="485"/>
      <c r="N24" s="476">
        <f t="shared" si="1"/>
        <v>0</v>
      </c>
      <c r="O24" s="476">
        <f t="shared" si="2"/>
        <v>0</v>
      </c>
      <c r="P24" s="241"/>
    </row>
    <row r="25" spans="2:16">
      <c r="B25" s="160" t="str">
        <f t="shared" si="5"/>
        <v/>
      </c>
      <c r="C25" s="470">
        <f>IF(D11="","-",+C24+1)</f>
        <v>2027</v>
      </c>
      <c r="D25" s="481">
        <f>IF(F24+SUM(E$17:E24)=D$10,F24,D$10-SUM(E$17:E24))</f>
        <v>6711963.4793658797</v>
      </c>
      <c r="E25" s="482">
        <f t="shared" si="10"/>
        <v>214402.02289473685</v>
      </c>
      <c r="F25" s="483">
        <f t="shared" si="11"/>
        <v>6497561.4564711433</v>
      </c>
      <c r="G25" s="484">
        <f t="shared" si="12"/>
        <v>965628.94491441757</v>
      </c>
      <c r="H25" s="453">
        <f t="shared" si="13"/>
        <v>965628.94491441757</v>
      </c>
      <c r="I25" s="473">
        <f t="shared" si="3"/>
        <v>0</v>
      </c>
      <c r="J25" s="473"/>
      <c r="K25" s="485"/>
      <c r="L25" s="476">
        <f t="shared" si="14"/>
        <v>0</v>
      </c>
      <c r="M25" s="485"/>
      <c r="N25" s="476">
        <f t="shared" si="1"/>
        <v>0</v>
      </c>
      <c r="O25" s="476">
        <f t="shared" si="2"/>
        <v>0</v>
      </c>
      <c r="P25" s="241"/>
    </row>
    <row r="26" spans="2:16">
      <c r="B26" s="160" t="str">
        <f t="shared" si="5"/>
        <v/>
      </c>
      <c r="C26" s="470">
        <f>IF(D11="","-",+C25+1)</f>
        <v>2028</v>
      </c>
      <c r="D26" s="481">
        <f>IF(F25+SUM(E$17:E25)=D$10,F25,D$10-SUM(E$17:E25))</f>
        <v>6497561.4564711433</v>
      </c>
      <c r="E26" s="482">
        <f t="shared" si="10"/>
        <v>214402.02289473685</v>
      </c>
      <c r="F26" s="483">
        <f t="shared" si="11"/>
        <v>6283159.4335764069</v>
      </c>
      <c r="G26" s="484">
        <f t="shared" si="12"/>
        <v>941242.81861292687</v>
      </c>
      <c r="H26" s="453">
        <f t="shared" si="13"/>
        <v>941242.81861292687</v>
      </c>
      <c r="I26" s="473">
        <f t="shared" si="3"/>
        <v>0</v>
      </c>
      <c r="J26" s="473"/>
      <c r="K26" s="485"/>
      <c r="L26" s="476">
        <f t="shared" si="14"/>
        <v>0</v>
      </c>
      <c r="M26" s="485"/>
      <c r="N26" s="476">
        <f t="shared" si="1"/>
        <v>0</v>
      </c>
      <c r="O26" s="476">
        <f t="shared" si="2"/>
        <v>0</v>
      </c>
      <c r="P26" s="241"/>
    </row>
    <row r="27" spans="2:16">
      <c r="B27" s="160" t="str">
        <f t="shared" si="5"/>
        <v/>
      </c>
      <c r="C27" s="470">
        <f>IF(D11="","-",+C26+1)</f>
        <v>2029</v>
      </c>
      <c r="D27" s="481">
        <f>IF(F26+SUM(E$17:E26)=D$10,F26,D$10-SUM(E$17:E26))</f>
        <v>6283159.4335764069</v>
      </c>
      <c r="E27" s="482">
        <f t="shared" si="10"/>
        <v>214402.02289473685</v>
      </c>
      <c r="F27" s="483">
        <f t="shared" si="11"/>
        <v>6068757.4106816705</v>
      </c>
      <c r="G27" s="484">
        <f t="shared" si="12"/>
        <v>916856.69231143629</v>
      </c>
      <c r="H27" s="453">
        <f t="shared" si="13"/>
        <v>916856.69231143629</v>
      </c>
      <c r="I27" s="473">
        <f t="shared" si="3"/>
        <v>0</v>
      </c>
      <c r="J27" s="473"/>
      <c r="K27" s="485"/>
      <c r="L27" s="476">
        <f t="shared" si="14"/>
        <v>0</v>
      </c>
      <c r="M27" s="485"/>
      <c r="N27" s="476">
        <f t="shared" si="1"/>
        <v>0</v>
      </c>
      <c r="O27" s="476">
        <f t="shared" si="2"/>
        <v>0</v>
      </c>
      <c r="P27" s="241"/>
    </row>
    <row r="28" spans="2:16">
      <c r="B28" s="160" t="str">
        <f t="shared" si="5"/>
        <v/>
      </c>
      <c r="C28" s="470">
        <f>IF(D11="","-",+C27+1)</f>
        <v>2030</v>
      </c>
      <c r="D28" s="481">
        <f>IF(F27+SUM(E$17:E27)=D$10,F27,D$10-SUM(E$17:E27))</f>
        <v>6068757.4106816705</v>
      </c>
      <c r="E28" s="482">
        <f t="shared" si="10"/>
        <v>214402.02289473685</v>
      </c>
      <c r="F28" s="483">
        <f t="shared" si="11"/>
        <v>5854355.3877869342</v>
      </c>
      <c r="G28" s="484">
        <f t="shared" si="12"/>
        <v>892470.56600994559</v>
      </c>
      <c r="H28" s="453">
        <f t="shared" si="13"/>
        <v>892470.56600994559</v>
      </c>
      <c r="I28" s="473">
        <f t="shared" si="3"/>
        <v>0</v>
      </c>
      <c r="J28" s="473"/>
      <c r="K28" s="485"/>
      <c r="L28" s="476">
        <f t="shared" si="14"/>
        <v>0</v>
      </c>
      <c r="M28" s="485"/>
      <c r="N28" s="476">
        <f t="shared" si="1"/>
        <v>0</v>
      </c>
      <c r="O28" s="476">
        <f t="shared" si="2"/>
        <v>0</v>
      </c>
      <c r="P28" s="241"/>
    </row>
    <row r="29" spans="2:16">
      <c r="B29" s="160" t="str">
        <f t="shared" si="5"/>
        <v/>
      </c>
      <c r="C29" s="470">
        <f>IF(D11="","-",+C28+1)</f>
        <v>2031</v>
      </c>
      <c r="D29" s="481">
        <f>IF(F28+SUM(E$17:E28)=D$10,F28,D$10-SUM(E$17:E28))</f>
        <v>5854355.3877869342</v>
      </c>
      <c r="E29" s="482">
        <f t="shared" si="10"/>
        <v>214402.02289473685</v>
      </c>
      <c r="F29" s="483">
        <f t="shared" si="11"/>
        <v>5639953.3648921978</v>
      </c>
      <c r="G29" s="484">
        <f t="shared" si="12"/>
        <v>868084.439708455</v>
      </c>
      <c r="H29" s="453">
        <f t="shared" si="13"/>
        <v>868084.439708455</v>
      </c>
      <c r="I29" s="473">
        <f t="shared" si="3"/>
        <v>0</v>
      </c>
      <c r="J29" s="473"/>
      <c r="K29" s="485"/>
      <c r="L29" s="476">
        <f t="shared" si="14"/>
        <v>0</v>
      </c>
      <c r="M29" s="485"/>
      <c r="N29" s="476">
        <f t="shared" si="1"/>
        <v>0</v>
      </c>
      <c r="O29" s="476">
        <f t="shared" si="2"/>
        <v>0</v>
      </c>
      <c r="P29" s="241"/>
    </row>
    <row r="30" spans="2:16">
      <c r="B30" s="160" t="str">
        <f t="shared" si="5"/>
        <v/>
      </c>
      <c r="C30" s="470">
        <f>IF(D11="","-",+C29+1)</f>
        <v>2032</v>
      </c>
      <c r="D30" s="481">
        <f>IF(F29+SUM(E$17:E29)=D$10,F29,D$10-SUM(E$17:E29))</f>
        <v>5639953.3648921978</v>
      </c>
      <c r="E30" s="482">
        <f t="shared" si="10"/>
        <v>214402.02289473685</v>
      </c>
      <c r="F30" s="483">
        <f t="shared" si="11"/>
        <v>5425551.3419974614</v>
      </c>
      <c r="G30" s="484">
        <f t="shared" si="12"/>
        <v>843698.3134069643</v>
      </c>
      <c r="H30" s="453">
        <f t="shared" si="13"/>
        <v>843698.3134069643</v>
      </c>
      <c r="I30" s="473">
        <f t="shared" si="3"/>
        <v>0</v>
      </c>
      <c r="J30" s="473"/>
      <c r="K30" s="485"/>
      <c r="L30" s="476">
        <f t="shared" si="14"/>
        <v>0</v>
      </c>
      <c r="M30" s="485"/>
      <c r="N30" s="476">
        <f t="shared" si="1"/>
        <v>0</v>
      </c>
      <c r="O30" s="476">
        <f t="shared" si="2"/>
        <v>0</v>
      </c>
      <c r="P30" s="241"/>
    </row>
    <row r="31" spans="2:16">
      <c r="B31" s="160" t="str">
        <f t="shared" si="5"/>
        <v/>
      </c>
      <c r="C31" s="470">
        <f>IF(D11="","-",+C30+1)</f>
        <v>2033</v>
      </c>
      <c r="D31" s="481">
        <f>IF(F30+SUM(E$17:E30)=D$10,F30,D$10-SUM(E$17:E30))</f>
        <v>5425551.3419974614</v>
      </c>
      <c r="E31" s="482">
        <f t="shared" si="10"/>
        <v>214402.02289473685</v>
      </c>
      <c r="F31" s="483">
        <f t="shared" si="11"/>
        <v>5211149.319102725</v>
      </c>
      <c r="G31" s="484">
        <f t="shared" si="12"/>
        <v>819312.1871054736</v>
      </c>
      <c r="H31" s="453">
        <f t="shared" si="13"/>
        <v>819312.1871054736</v>
      </c>
      <c r="I31" s="473">
        <f t="shared" si="3"/>
        <v>0</v>
      </c>
      <c r="J31" s="473"/>
      <c r="K31" s="485"/>
      <c r="L31" s="476">
        <f t="shared" si="14"/>
        <v>0</v>
      </c>
      <c r="M31" s="485"/>
      <c r="N31" s="476">
        <f t="shared" si="1"/>
        <v>0</v>
      </c>
      <c r="O31" s="476">
        <f t="shared" si="2"/>
        <v>0</v>
      </c>
      <c r="P31" s="241"/>
    </row>
    <row r="32" spans="2:16">
      <c r="B32" s="160" t="str">
        <f t="shared" si="5"/>
        <v/>
      </c>
      <c r="C32" s="470">
        <f>IF(D11="","-",+C31+1)</f>
        <v>2034</v>
      </c>
      <c r="D32" s="481">
        <f>IF(F31+SUM(E$17:E31)=D$10,F31,D$10-SUM(E$17:E31))</f>
        <v>5211149.319102725</v>
      </c>
      <c r="E32" s="482">
        <f t="shared" si="10"/>
        <v>214402.02289473685</v>
      </c>
      <c r="F32" s="483">
        <f t="shared" si="11"/>
        <v>4996747.2962079886</v>
      </c>
      <c r="G32" s="484">
        <f t="shared" si="12"/>
        <v>794926.06080398301</v>
      </c>
      <c r="H32" s="453">
        <f t="shared" si="13"/>
        <v>794926.06080398301</v>
      </c>
      <c r="I32" s="473">
        <f t="shared" si="3"/>
        <v>0</v>
      </c>
      <c r="J32" s="473"/>
      <c r="K32" s="485"/>
      <c r="L32" s="476">
        <f t="shared" si="14"/>
        <v>0</v>
      </c>
      <c r="M32" s="485"/>
      <c r="N32" s="476">
        <f t="shared" si="1"/>
        <v>0</v>
      </c>
      <c r="O32" s="476">
        <f t="shared" si="2"/>
        <v>0</v>
      </c>
      <c r="P32" s="241"/>
    </row>
    <row r="33" spans="2:16">
      <c r="B33" s="160" t="str">
        <f t="shared" si="5"/>
        <v/>
      </c>
      <c r="C33" s="470">
        <f>IF(D11="","-",+C32+1)</f>
        <v>2035</v>
      </c>
      <c r="D33" s="481">
        <f>IF(F32+SUM(E$17:E32)=D$10,F32,D$10-SUM(E$17:E32))</f>
        <v>4996747.2962079886</v>
      </c>
      <c r="E33" s="482">
        <f t="shared" si="10"/>
        <v>214402.02289473685</v>
      </c>
      <c r="F33" s="483">
        <f t="shared" si="11"/>
        <v>4782345.2733132523</v>
      </c>
      <c r="G33" s="484">
        <f t="shared" si="12"/>
        <v>770539.93450249231</v>
      </c>
      <c r="H33" s="453">
        <f t="shared" si="13"/>
        <v>770539.93450249231</v>
      </c>
      <c r="I33" s="473">
        <f t="shared" si="3"/>
        <v>0</v>
      </c>
      <c r="J33" s="473"/>
      <c r="K33" s="485"/>
      <c r="L33" s="476">
        <f t="shared" si="14"/>
        <v>0</v>
      </c>
      <c r="M33" s="485"/>
      <c r="N33" s="476">
        <f t="shared" si="1"/>
        <v>0</v>
      </c>
      <c r="O33" s="476">
        <f t="shared" si="2"/>
        <v>0</v>
      </c>
      <c r="P33" s="241"/>
    </row>
    <row r="34" spans="2:16">
      <c r="B34" s="160" t="str">
        <f t="shared" si="5"/>
        <v/>
      </c>
      <c r="C34" s="470">
        <f>IF(D11="","-",+C33+1)</f>
        <v>2036</v>
      </c>
      <c r="D34" s="481">
        <f>IF(F33+SUM(E$17:E33)=D$10,F33,D$10-SUM(E$17:E33))</f>
        <v>4782345.2733132523</v>
      </c>
      <c r="E34" s="482">
        <f t="shared" si="10"/>
        <v>214402.02289473685</v>
      </c>
      <c r="F34" s="483">
        <f t="shared" si="11"/>
        <v>4567943.2504185159</v>
      </c>
      <c r="G34" s="484">
        <f t="shared" si="12"/>
        <v>746153.80820100172</v>
      </c>
      <c r="H34" s="453">
        <f t="shared" si="13"/>
        <v>746153.80820100172</v>
      </c>
      <c r="I34" s="473">
        <f t="shared" si="3"/>
        <v>0</v>
      </c>
      <c r="J34" s="473"/>
      <c r="K34" s="485"/>
      <c r="L34" s="476">
        <f t="shared" si="14"/>
        <v>0</v>
      </c>
      <c r="M34" s="485"/>
      <c r="N34" s="476">
        <f t="shared" si="1"/>
        <v>0</v>
      </c>
      <c r="O34" s="476">
        <f t="shared" si="2"/>
        <v>0</v>
      </c>
      <c r="P34" s="241"/>
    </row>
    <row r="35" spans="2:16">
      <c r="B35" s="160" t="str">
        <f t="shared" si="5"/>
        <v>IU</v>
      </c>
      <c r="C35" s="470">
        <f>IF(D11="","-",+C34+1)</f>
        <v>2037</v>
      </c>
      <c r="D35" s="481">
        <f>IF(F34+SUM(E$17:E34)=D$10,F34,D$10-SUM(E$17:E34))</f>
        <v>4567943.2504185103</v>
      </c>
      <c r="E35" s="482">
        <f t="shared" si="10"/>
        <v>214402.02289473685</v>
      </c>
      <c r="F35" s="483">
        <f t="shared" si="11"/>
        <v>4353541.2275237739</v>
      </c>
      <c r="G35" s="484">
        <f t="shared" si="12"/>
        <v>721767.68189951032</v>
      </c>
      <c r="H35" s="453">
        <f t="shared" si="13"/>
        <v>721767.68189951032</v>
      </c>
      <c r="I35" s="473">
        <f t="shared" si="3"/>
        <v>0</v>
      </c>
      <c r="J35" s="473"/>
      <c r="K35" s="485"/>
      <c r="L35" s="476">
        <f t="shared" si="14"/>
        <v>0</v>
      </c>
      <c r="M35" s="485"/>
      <c r="N35" s="476">
        <f t="shared" si="1"/>
        <v>0</v>
      </c>
      <c r="O35" s="476">
        <f t="shared" si="2"/>
        <v>0</v>
      </c>
      <c r="P35" s="241"/>
    </row>
    <row r="36" spans="2:16">
      <c r="B36" s="160" t="str">
        <f t="shared" si="5"/>
        <v/>
      </c>
      <c r="C36" s="470">
        <f>IF(D11="","-",+C35+1)</f>
        <v>2038</v>
      </c>
      <c r="D36" s="481">
        <f>IF(F35+SUM(E$17:E35)=D$10,F35,D$10-SUM(E$17:E35))</f>
        <v>4353541.2275237739</v>
      </c>
      <c r="E36" s="482">
        <f t="shared" si="10"/>
        <v>214402.02289473685</v>
      </c>
      <c r="F36" s="483">
        <f t="shared" si="11"/>
        <v>4139139.2046290371</v>
      </c>
      <c r="G36" s="484">
        <f t="shared" si="12"/>
        <v>697381.55559801974</v>
      </c>
      <c r="H36" s="453">
        <f t="shared" si="13"/>
        <v>697381.55559801974</v>
      </c>
      <c r="I36" s="473">
        <f t="shared" si="3"/>
        <v>0</v>
      </c>
      <c r="J36" s="473"/>
      <c r="K36" s="485"/>
      <c r="L36" s="476">
        <f t="shared" si="14"/>
        <v>0</v>
      </c>
      <c r="M36" s="485"/>
      <c r="N36" s="476">
        <f t="shared" si="1"/>
        <v>0</v>
      </c>
      <c r="O36" s="476">
        <f t="shared" si="2"/>
        <v>0</v>
      </c>
      <c r="P36" s="241"/>
    </row>
    <row r="37" spans="2:16">
      <c r="B37" s="160" t="str">
        <f t="shared" si="5"/>
        <v/>
      </c>
      <c r="C37" s="470">
        <f>IF(D11="","-",+C36+1)</f>
        <v>2039</v>
      </c>
      <c r="D37" s="481">
        <f>IF(F36+SUM(E$17:E36)=D$10,F36,D$10-SUM(E$17:E36))</f>
        <v>4139139.2046290371</v>
      </c>
      <c r="E37" s="482">
        <f t="shared" si="10"/>
        <v>214402.02289473685</v>
      </c>
      <c r="F37" s="483">
        <f t="shared" si="11"/>
        <v>3924737.1817343002</v>
      </c>
      <c r="G37" s="484">
        <f t="shared" si="12"/>
        <v>672995.42929652892</v>
      </c>
      <c r="H37" s="453">
        <f t="shared" si="13"/>
        <v>672995.42929652892</v>
      </c>
      <c r="I37" s="473">
        <f t="shared" si="3"/>
        <v>0</v>
      </c>
      <c r="J37" s="473"/>
      <c r="K37" s="485"/>
      <c r="L37" s="476">
        <f t="shared" si="14"/>
        <v>0</v>
      </c>
      <c r="M37" s="485"/>
      <c r="N37" s="476">
        <f t="shared" si="1"/>
        <v>0</v>
      </c>
      <c r="O37" s="476">
        <f t="shared" si="2"/>
        <v>0</v>
      </c>
      <c r="P37" s="241"/>
    </row>
    <row r="38" spans="2:16">
      <c r="B38" s="160" t="str">
        <f t="shared" si="5"/>
        <v/>
      </c>
      <c r="C38" s="470">
        <f>IF(D11="","-",+C37+1)</f>
        <v>2040</v>
      </c>
      <c r="D38" s="481">
        <f>IF(F37+SUM(E$17:E37)=D$10,F37,D$10-SUM(E$17:E37))</f>
        <v>3924737.1817343002</v>
      </c>
      <c r="E38" s="482">
        <f t="shared" si="10"/>
        <v>214402.02289473685</v>
      </c>
      <c r="F38" s="483">
        <f t="shared" si="11"/>
        <v>3710335.1588395634</v>
      </c>
      <c r="G38" s="484">
        <f t="shared" si="12"/>
        <v>648609.30299503834</v>
      </c>
      <c r="H38" s="453">
        <f t="shared" si="13"/>
        <v>648609.30299503834</v>
      </c>
      <c r="I38" s="473">
        <f t="shared" si="3"/>
        <v>0</v>
      </c>
      <c r="J38" s="473"/>
      <c r="K38" s="485"/>
      <c r="L38" s="476">
        <f t="shared" si="14"/>
        <v>0</v>
      </c>
      <c r="M38" s="485"/>
      <c r="N38" s="476">
        <f t="shared" si="1"/>
        <v>0</v>
      </c>
      <c r="O38" s="476">
        <f t="shared" si="2"/>
        <v>0</v>
      </c>
      <c r="P38" s="241"/>
    </row>
    <row r="39" spans="2:16">
      <c r="B39" s="160" t="str">
        <f t="shared" si="5"/>
        <v/>
      </c>
      <c r="C39" s="470">
        <f>IF(D11="","-",+C38+1)</f>
        <v>2041</v>
      </c>
      <c r="D39" s="481">
        <f>IF(F38+SUM(E$17:E38)=D$10,F38,D$10-SUM(E$17:E38))</f>
        <v>3710335.1588395634</v>
      </c>
      <c r="E39" s="482">
        <f t="shared" si="10"/>
        <v>214402.02289473685</v>
      </c>
      <c r="F39" s="483">
        <f t="shared" si="11"/>
        <v>3495933.1359448265</v>
      </c>
      <c r="G39" s="484">
        <f t="shared" si="12"/>
        <v>624223.17669354752</v>
      </c>
      <c r="H39" s="453">
        <f t="shared" si="13"/>
        <v>624223.17669354752</v>
      </c>
      <c r="I39" s="473">
        <f t="shared" si="3"/>
        <v>0</v>
      </c>
      <c r="J39" s="473"/>
      <c r="K39" s="485"/>
      <c r="L39" s="476">
        <f t="shared" si="14"/>
        <v>0</v>
      </c>
      <c r="M39" s="485"/>
      <c r="N39" s="476">
        <f t="shared" si="1"/>
        <v>0</v>
      </c>
      <c r="O39" s="476">
        <f t="shared" si="2"/>
        <v>0</v>
      </c>
      <c r="P39" s="241"/>
    </row>
    <row r="40" spans="2:16">
      <c r="B40" s="160" t="str">
        <f t="shared" si="5"/>
        <v/>
      </c>
      <c r="C40" s="470">
        <f>IF(D11="","-",+C39+1)</f>
        <v>2042</v>
      </c>
      <c r="D40" s="481">
        <f>IF(F39+SUM(E$17:E39)=D$10,F39,D$10-SUM(E$17:E39))</f>
        <v>3495933.1359448265</v>
      </c>
      <c r="E40" s="482">
        <f t="shared" si="10"/>
        <v>214402.02289473685</v>
      </c>
      <c r="F40" s="483">
        <f t="shared" si="11"/>
        <v>3281531.1130500897</v>
      </c>
      <c r="G40" s="484">
        <f t="shared" si="12"/>
        <v>599837.05039205693</v>
      </c>
      <c r="H40" s="453">
        <f t="shared" si="13"/>
        <v>599837.05039205693</v>
      </c>
      <c r="I40" s="473">
        <f t="shared" si="3"/>
        <v>0</v>
      </c>
      <c r="J40" s="473"/>
      <c r="K40" s="485"/>
      <c r="L40" s="476">
        <f t="shared" si="14"/>
        <v>0</v>
      </c>
      <c r="M40" s="485"/>
      <c r="N40" s="476">
        <f t="shared" si="1"/>
        <v>0</v>
      </c>
      <c r="O40" s="476">
        <f t="shared" si="2"/>
        <v>0</v>
      </c>
      <c r="P40" s="241"/>
    </row>
    <row r="41" spans="2:16">
      <c r="B41" s="160" t="str">
        <f t="shared" si="5"/>
        <v/>
      </c>
      <c r="C41" s="470">
        <f>IF(D11="","-",+C40+1)</f>
        <v>2043</v>
      </c>
      <c r="D41" s="481">
        <f>IF(F40+SUM(E$17:E40)=D$10,F40,D$10-SUM(E$17:E40))</f>
        <v>3281531.1130500897</v>
      </c>
      <c r="E41" s="482">
        <f t="shared" si="10"/>
        <v>214402.02289473685</v>
      </c>
      <c r="F41" s="483">
        <f t="shared" si="11"/>
        <v>3067129.0901553528</v>
      </c>
      <c r="G41" s="484">
        <f t="shared" si="12"/>
        <v>575450.92409056611</v>
      </c>
      <c r="H41" s="453">
        <f t="shared" si="13"/>
        <v>575450.92409056611</v>
      </c>
      <c r="I41" s="473">
        <f t="shared" si="3"/>
        <v>0</v>
      </c>
      <c r="J41" s="473"/>
      <c r="K41" s="485"/>
      <c r="L41" s="476">
        <f t="shared" si="14"/>
        <v>0</v>
      </c>
      <c r="M41" s="485"/>
      <c r="N41" s="476">
        <f t="shared" si="1"/>
        <v>0</v>
      </c>
      <c r="O41" s="476">
        <f t="shared" si="2"/>
        <v>0</v>
      </c>
      <c r="P41" s="241"/>
    </row>
    <row r="42" spans="2:16">
      <c r="B42" s="160" t="str">
        <f t="shared" si="5"/>
        <v/>
      </c>
      <c r="C42" s="470">
        <f>IF(D11="","-",+C41+1)</f>
        <v>2044</v>
      </c>
      <c r="D42" s="481">
        <f>IF(F41+SUM(E$17:E41)=D$10,F41,D$10-SUM(E$17:E41))</f>
        <v>3067129.0901553528</v>
      </c>
      <c r="E42" s="482">
        <f t="shared" si="10"/>
        <v>214402.02289473685</v>
      </c>
      <c r="F42" s="483">
        <f t="shared" si="11"/>
        <v>2852727.067260616</v>
      </c>
      <c r="G42" s="484">
        <f t="shared" si="12"/>
        <v>551064.79778907553</v>
      </c>
      <c r="H42" s="453">
        <f t="shared" si="13"/>
        <v>551064.79778907553</v>
      </c>
      <c r="I42" s="473">
        <f t="shared" si="3"/>
        <v>0</v>
      </c>
      <c r="J42" s="473"/>
      <c r="K42" s="485"/>
      <c r="L42" s="476">
        <f t="shared" si="14"/>
        <v>0</v>
      </c>
      <c r="M42" s="485"/>
      <c r="N42" s="476">
        <f t="shared" si="1"/>
        <v>0</v>
      </c>
      <c r="O42" s="476">
        <f t="shared" si="2"/>
        <v>0</v>
      </c>
      <c r="P42" s="241"/>
    </row>
    <row r="43" spans="2:16">
      <c r="B43" s="160" t="str">
        <f t="shared" si="5"/>
        <v/>
      </c>
      <c r="C43" s="470">
        <f>IF(D11="","-",+C42+1)</f>
        <v>2045</v>
      </c>
      <c r="D43" s="481">
        <f>IF(F42+SUM(E$17:E42)=D$10,F42,D$10-SUM(E$17:E42))</f>
        <v>2852727.067260616</v>
      </c>
      <c r="E43" s="482">
        <f t="shared" si="10"/>
        <v>214402.02289473685</v>
      </c>
      <c r="F43" s="483">
        <f t="shared" si="11"/>
        <v>2638325.0443658791</v>
      </c>
      <c r="G43" s="484">
        <f t="shared" si="12"/>
        <v>526678.67148758471</v>
      </c>
      <c r="H43" s="453">
        <f t="shared" si="13"/>
        <v>526678.67148758471</v>
      </c>
      <c r="I43" s="473">
        <f t="shared" si="3"/>
        <v>0</v>
      </c>
      <c r="J43" s="473"/>
      <c r="K43" s="485"/>
      <c r="L43" s="476">
        <f t="shared" si="14"/>
        <v>0</v>
      </c>
      <c r="M43" s="485"/>
      <c r="N43" s="476">
        <f t="shared" si="1"/>
        <v>0</v>
      </c>
      <c r="O43" s="476">
        <f t="shared" si="2"/>
        <v>0</v>
      </c>
      <c r="P43" s="241"/>
    </row>
    <row r="44" spans="2:16">
      <c r="B44" s="160" t="str">
        <f t="shared" si="5"/>
        <v/>
      </c>
      <c r="C44" s="470">
        <f>IF(D11="","-",+C43+1)</f>
        <v>2046</v>
      </c>
      <c r="D44" s="481">
        <f>IF(F43+SUM(E$17:E43)=D$10,F43,D$10-SUM(E$17:E43))</f>
        <v>2638325.0443658791</v>
      </c>
      <c r="E44" s="482">
        <f t="shared" si="10"/>
        <v>214402.02289473685</v>
      </c>
      <c r="F44" s="483">
        <f t="shared" si="11"/>
        <v>2423923.0214711423</v>
      </c>
      <c r="G44" s="484">
        <f t="shared" si="12"/>
        <v>502292.54518609412</v>
      </c>
      <c r="H44" s="453">
        <f t="shared" si="13"/>
        <v>502292.54518609412</v>
      </c>
      <c r="I44" s="473">
        <f t="shared" si="3"/>
        <v>0</v>
      </c>
      <c r="J44" s="473"/>
      <c r="K44" s="485"/>
      <c r="L44" s="476">
        <f t="shared" si="14"/>
        <v>0</v>
      </c>
      <c r="M44" s="485"/>
      <c r="N44" s="476">
        <f t="shared" si="1"/>
        <v>0</v>
      </c>
      <c r="O44" s="476">
        <f t="shared" si="2"/>
        <v>0</v>
      </c>
      <c r="P44" s="241"/>
    </row>
    <row r="45" spans="2:16">
      <c r="B45" s="160" t="str">
        <f t="shared" si="5"/>
        <v/>
      </c>
      <c r="C45" s="470">
        <f>IF(D11="","-",+C44+1)</f>
        <v>2047</v>
      </c>
      <c r="D45" s="481">
        <f>IF(F44+SUM(E$17:E44)=D$10,F44,D$10-SUM(E$17:E44))</f>
        <v>2423923.0214711423</v>
      </c>
      <c r="E45" s="482">
        <f t="shared" si="10"/>
        <v>214402.02289473685</v>
      </c>
      <c r="F45" s="483">
        <f t="shared" si="11"/>
        <v>2209520.9985764055</v>
      </c>
      <c r="G45" s="484">
        <f t="shared" si="12"/>
        <v>477906.41888460336</v>
      </c>
      <c r="H45" s="453">
        <f t="shared" si="13"/>
        <v>477906.41888460336</v>
      </c>
      <c r="I45" s="473">
        <f t="shared" si="3"/>
        <v>0</v>
      </c>
      <c r="J45" s="473"/>
      <c r="K45" s="485"/>
      <c r="L45" s="476">
        <f t="shared" si="14"/>
        <v>0</v>
      </c>
      <c r="M45" s="485"/>
      <c r="N45" s="476">
        <f t="shared" si="1"/>
        <v>0</v>
      </c>
      <c r="O45" s="476">
        <f t="shared" si="2"/>
        <v>0</v>
      </c>
      <c r="P45" s="241"/>
    </row>
    <row r="46" spans="2:16">
      <c r="B46" s="160" t="str">
        <f t="shared" si="5"/>
        <v/>
      </c>
      <c r="C46" s="470">
        <f>IF(D11="","-",+C45+1)</f>
        <v>2048</v>
      </c>
      <c r="D46" s="481">
        <f>IF(F45+SUM(E$17:E45)=D$10,F45,D$10-SUM(E$17:E45))</f>
        <v>2209520.9985764055</v>
      </c>
      <c r="E46" s="482">
        <f t="shared" si="10"/>
        <v>214402.02289473685</v>
      </c>
      <c r="F46" s="483">
        <f t="shared" si="11"/>
        <v>1995118.9756816686</v>
      </c>
      <c r="G46" s="484">
        <f t="shared" si="12"/>
        <v>453520.29258311272</v>
      </c>
      <c r="H46" s="453">
        <f t="shared" si="13"/>
        <v>453520.29258311272</v>
      </c>
      <c r="I46" s="473">
        <f t="shared" si="3"/>
        <v>0</v>
      </c>
      <c r="J46" s="473"/>
      <c r="K46" s="485"/>
      <c r="L46" s="476">
        <f t="shared" si="14"/>
        <v>0</v>
      </c>
      <c r="M46" s="485"/>
      <c r="N46" s="476">
        <f t="shared" si="1"/>
        <v>0</v>
      </c>
      <c r="O46" s="476">
        <f t="shared" si="2"/>
        <v>0</v>
      </c>
      <c r="P46" s="241"/>
    </row>
    <row r="47" spans="2:16">
      <c r="B47" s="160" t="str">
        <f t="shared" si="5"/>
        <v/>
      </c>
      <c r="C47" s="470">
        <f>IF(D11="","-",+C46+1)</f>
        <v>2049</v>
      </c>
      <c r="D47" s="481">
        <f>IF(F46+SUM(E$17:E46)=D$10,F46,D$10-SUM(E$17:E46))</f>
        <v>1995118.9756816686</v>
      </c>
      <c r="E47" s="482">
        <f t="shared" si="10"/>
        <v>214402.02289473685</v>
      </c>
      <c r="F47" s="483">
        <f t="shared" si="11"/>
        <v>1780716.9527869318</v>
      </c>
      <c r="G47" s="484">
        <f t="shared" si="12"/>
        <v>429134.16628162196</v>
      </c>
      <c r="H47" s="453">
        <f t="shared" si="13"/>
        <v>429134.16628162196</v>
      </c>
      <c r="I47" s="473">
        <f t="shared" si="3"/>
        <v>0</v>
      </c>
      <c r="J47" s="473"/>
      <c r="K47" s="485"/>
      <c r="L47" s="476">
        <f t="shared" si="14"/>
        <v>0</v>
      </c>
      <c r="M47" s="485"/>
      <c r="N47" s="476">
        <f t="shared" si="1"/>
        <v>0</v>
      </c>
      <c r="O47" s="476">
        <f t="shared" si="2"/>
        <v>0</v>
      </c>
      <c r="P47" s="241"/>
    </row>
    <row r="48" spans="2:16">
      <c r="B48" s="160" t="str">
        <f t="shared" si="5"/>
        <v/>
      </c>
      <c r="C48" s="470">
        <f>IF(D11="","-",+C47+1)</f>
        <v>2050</v>
      </c>
      <c r="D48" s="481">
        <f>IF(F47+SUM(E$17:E47)=D$10,F47,D$10-SUM(E$17:E47))</f>
        <v>1780716.9527869318</v>
      </c>
      <c r="E48" s="482">
        <f t="shared" si="10"/>
        <v>214402.02289473685</v>
      </c>
      <c r="F48" s="483">
        <f t="shared" si="11"/>
        <v>1566314.9298921949</v>
      </c>
      <c r="G48" s="484">
        <f t="shared" si="12"/>
        <v>404748.03998013126</v>
      </c>
      <c r="H48" s="453">
        <f t="shared" si="13"/>
        <v>404748.03998013126</v>
      </c>
      <c r="I48" s="473">
        <f t="shared" si="3"/>
        <v>0</v>
      </c>
      <c r="J48" s="473"/>
      <c r="K48" s="485"/>
      <c r="L48" s="476">
        <f t="shared" si="14"/>
        <v>0</v>
      </c>
      <c r="M48" s="485"/>
      <c r="N48" s="476">
        <f t="shared" si="1"/>
        <v>0</v>
      </c>
      <c r="O48" s="476">
        <f t="shared" si="2"/>
        <v>0</v>
      </c>
      <c r="P48" s="241"/>
    </row>
    <row r="49" spans="2:16">
      <c r="B49" s="160" t="str">
        <f t="shared" si="5"/>
        <v/>
      </c>
      <c r="C49" s="470">
        <f>IF(D11="","-",+C48+1)</f>
        <v>2051</v>
      </c>
      <c r="D49" s="481">
        <f>IF(F48+SUM(E$17:E48)=D$10,F48,D$10-SUM(E$17:E48))</f>
        <v>1566314.9298921949</v>
      </c>
      <c r="E49" s="482">
        <f t="shared" si="10"/>
        <v>214402.02289473685</v>
      </c>
      <c r="F49" s="483">
        <f t="shared" si="11"/>
        <v>1351912.9069974581</v>
      </c>
      <c r="G49" s="484">
        <f t="shared" si="12"/>
        <v>380361.91367864056</v>
      </c>
      <c r="H49" s="453">
        <f t="shared" si="13"/>
        <v>380361.91367864056</v>
      </c>
      <c r="I49" s="473">
        <f t="shared" si="3"/>
        <v>0</v>
      </c>
      <c r="J49" s="473"/>
      <c r="K49" s="485"/>
      <c r="L49" s="476">
        <f t="shared" si="14"/>
        <v>0</v>
      </c>
      <c r="M49" s="485"/>
      <c r="N49" s="476">
        <f t="shared" si="1"/>
        <v>0</v>
      </c>
      <c r="O49" s="476">
        <f t="shared" si="2"/>
        <v>0</v>
      </c>
      <c r="P49" s="241"/>
    </row>
    <row r="50" spans="2:16">
      <c r="B50" s="160" t="str">
        <f t="shared" si="5"/>
        <v/>
      </c>
      <c r="C50" s="470">
        <f>IF(D11="","-",+C49+1)</f>
        <v>2052</v>
      </c>
      <c r="D50" s="481">
        <f>IF(F49+SUM(E$17:E49)=D$10,F49,D$10-SUM(E$17:E49))</f>
        <v>1351912.9069974637</v>
      </c>
      <c r="E50" s="482">
        <f t="shared" si="10"/>
        <v>214402.02289473685</v>
      </c>
      <c r="F50" s="483">
        <f t="shared" si="11"/>
        <v>1137510.8841027268</v>
      </c>
      <c r="G50" s="484">
        <f t="shared" si="12"/>
        <v>355975.7873771505</v>
      </c>
      <c r="H50" s="453">
        <f t="shared" si="13"/>
        <v>355975.7873771505</v>
      </c>
      <c r="I50" s="473">
        <f t="shared" si="3"/>
        <v>0</v>
      </c>
      <c r="J50" s="473"/>
      <c r="K50" s="485"/>
      <c r="L50" s="476">
        <f t="shared" si="14"/>
        <v>0</v>
      </c>
      <c r="M50" s="485"/>
      <c r="N50" s="476">
        <f t="shared" si="1"/>
        <v>0</v>
      </c>
      <c r="O50" s="476">
        <f t="shared" si="2"/>
        <v>0</v>
      </c>
      <c r="P50" s="241"/>
    </row>
    <row r="51" spans="2:16">
      <c r="B51" s="160" t="str">
        <f t="shared" si="5"/>
        <v/>
      </c>
      <c r="C51" s="470">
        <f>IF(D11="","-",+C50+1)</f>
        <v>2053</v>
      </c>
      <c r="D51" s="481">
        <f>IF(F50+SUM(E$17:E50)=D$10,F50,D$10-SUM(E$17:E50))</f>
        <v>1137510.8841027268</v>
      </c>
      <c r="E51" s="482">
        <f t="shared" si="10"/>
        <v>214402.02289473685</v>
      </c>
      <c r="F51" s="483">
        <f t="shared" si="11"/>
        <v>923108.86120798998</v>
      </c>
      <c r="G51" s="484">
        <f t="shared" si="12"/>
        <v>331589.66107565979</v>
      </c>
      <c r="H51" s="453">
        <f t="shared" si="13"/>
        <v>331589.66107565979</v>
      </c>
      <c r="I51" s="473">
        <f t="shared" si="3"/>
        <v>0</v>
      </c>
      <c r="J51" s="473"/>
      <c r="K51" s="485"/>
      <c r="L51" s="476">
        <f t="shared" si="14"/>
        <v>0</v>
      </c>
      <c r="M51" s="485"/>
      <c r="N51" s="476">
        <f t="shared" si="1"/>
        <v>0</v>
      </c>
      <c r="O51" s="476">
        <f t="shared" si="2"/>
        <v>0</v>
      </c>
      <c r="P51" s="241"/>
    </row>
    <row r="52" spans="2:16">
      <c r="B52" s="160" t="str">
        <f t="shared" si="5"/>
        <v/>
      </c>
      <c r="C52" s="470">
        <f>IF(D11="","-",+C51+1)</f>
        <v>2054</v>
      </c>
      <c r="D52" s="481">
        <f>IF(F51+SUM(E$17:E51)=D$10,F51,D$10-SUM(E$17:E51))</f>
        <v>923108.86120798998</v>
      </c>
      <c r="E52" s="482">
        <f t="shared" si="10"/>
        <v>214402.02289473685</v>
      </c>
      <c r="F52" s="483">
        <f t="shared" si="11"/>
        <v>708706.83831325313</v>
      </c>
      <c r="G52" s="484">
        <f t="shared" si="12"/>
        <v>307203.53477416909</v>
      </c>
      <c r="H52" s="453">
        <f t="shared" si="13"/>
        <v>307203.53477416909</v>
      </c>
      <c r="I52" s="473">
        <f t="shared" si="3"/>
        <v>0</v>
      </c>
      <c r="J52" s="473"/>
      <c r="K52" s="485"/>
      <c r="L52" s="476">
        <f t="shared" si="14"/>
        <v>0</v>
      </c>
      <c r="M52" s="485"/>
      <c r="N52" s="476">
        <f t="shared" si="1"/>
        <v>0</v>
      </c>
      <c r="O52" s="476">
        <f t="shared" si="2"/>
        <v>0</v>
      </c>
      <c r="P52" s="241"/>
    </row>
    <row r="53" spans="2:16">
      <c r="B53" s="160" t="str">
        <f t="shared" si="5"/>
        <v/>
      </c>
      <c r="C53" s="470">
        <f>IF(D11="","-",+C52+1)</f>
        <v>2055</v>
      </c>
      <c r="D53" s="481">
        <f>IF(F52+SUM(E$17:E52)=D$10,F52,D$10-SUM(E$17:E52))</f>
        <v>708706.83831325313</v>
      </c>
      <c r="E53" s="482">
        <f t="shared" si="10"/>
        <v>214402.02289473685</v>
      </c>
      <c r="F53" s="483">
        <f t="shared" si="11"/>
        <v>494304.81541851629</v>
      </c>
      <c r="G53" s="484">
        <f t="shared" si="12"/>
        <v>282817.40847267839</v>
      </c>
      <c r="H53" s="453">
        <f t="shared" si="13"/>
        <v>282817.40847267839</v>
      </c>
      <c r="I53" s="473">
        <f t="shared" si="3"/>
        <v>0</v>
      </c>
      <c r="J53" s="473"/>
      <c r="K53" s="485"/>
      <c r="L53" s="476">
        <f t="shared" si="14"/>
        <v>0</v>
      </c>
      <c r="M53" s="485"/>
      <c r="N53" s="476">
        <f t="shared" si="1"/>
        <v>0</v>
      </c>
      <c r="O53" s="476">
        <f t="shared" si="2"/>
        <v>0</v>
      </c>
      <c r="P53" s="241"/>
    </row>
    <row r="54" spans="2:16">
      <c r="B54" s="160" t="str">
        <f t="shared" si="5"/>
        <v/>
      </c>
      <c r="C54" s="470">
        <f>IF(D11="","-",+C53+1)</f>
        <v>2056</v>
      </c>
      <c r="D54" s="481">
        <f>IF(F53+SUM(E$17:E53)=D$10,F53,D$10-SUM(E$17:E53))</f>
        <v>494304.81541851629</v>
      </c>
      <c r="E54" s="482">
        <f t="shared" si="10"/>
        <v>214402.02289473685</v>
      </c>
      <c r="F54" s="483">
        <f t="shared" si="11"/>
        <v>279902.79252377944</v>
      </c>
      <c r="G54" s="484">
        <f t="shared" si="12"/>
        <v>258431.28217118766</v>
      </c>
      <c r="H54" s="453">
        <f t="shared" si="13"/>
        <v>258431.28217118766</v>
      </c>
      <c r="I54" s="473">
        <f t="shared" si="3"/>
        <v>0</v>
      </c>
      <c r="J54" s="473"/>
      <c r="K54" s="485"/>
      <c r="L54" s="476">
        <f t="shared" si="14"/>
        <v>0</v>
      </c>
      <c r="M54" s="485"/>
      <c r="N54" s="476">
        <f t="shared" si="1"/>
        <v>0</v>
      </c>
      <c r="O54" s="476">
        <f t="shared" si="2"/>
        <v>0</v>
      </c>
      <c r="P54" s="241"/>
    </row>
    <row r="55" spans="2:16">
      <c r="B55" s="160" t="str">
        <f t="shared" si="5"/>
        <v/>
      </c>
      <c r="C55" s="470">
        <f>IF(D11="","-",+C54+1)</f>
        <v>2057</v>
      </c>
      <c r="D55" s="481">
        <f>IF(F54+SUM(E$17:E54)=D$10,F54,D$10-SUM(E$17:E54))</f>
        <v>279902.79252377944</v>
      </c>
      <c r="E55" s="482">
        <f t="shared" si="10"/>
        <v>214402.02289473685</v>
      </c>
      <c r="F55" s="483">
        <f t="shared" si="11"/>
        <v>65500.769629042596</v>
      </c>
      <c r="G55" s="484">
        <f t="shared" si="12"/>
        <v>234045.15586969696</v>
      </c>
      <c r="H55" s="453">
        <f t="shared" si="13"/>
        <v>234045.15586969696</v>
      </c>
      <c r="I55" s="473">
        <f t="shared" si="3"/>
        <v>0</v>
      </c>
      <c r="J55" s="473"/>
      <c r="K55" s="485"/>
      <c r="L55" s="476">
        <f t="shared" si="14"/>
        <v>0</v>
      </c>
      <c r="M55" s="485"/>
      <c r="N55" s="476">
        <f t="shared" si="1"/>
        <v>0</v>
      </c>
      <c r="O55" s="476">
        <f t="shared" si="2"/>
        <v>0</v>
      </c>
      <c r="P55" s="241"/>
    </row>
    <row r="56" spans="2:16">
      <c r="B56" s="160" t="str">
        <f t="shared" si="5"/>
        <v/>
      </c>
      <c r="C56" s="470">
        <f>IF(D11="","-",+C55+1)</f>
        <v>2058</v>
      </c>
      <c r="D56" s="481">
        <f>IF(F55+SUM(E$17:E55)=D$10,F55,D$10-SUM(E$17:E55))</f>
        <v>65500.769629042596</v>
      </c>
      <c r="E56" s="482">
        <f t="shared" si="10"/>
        <v>65500.769629042596</v>
      </c>
      <c r="F56" s="483">
        <f t="shared" si="11"/>
        <v>0</v>
      </c>
      <c r="G56" s="484">
        <f t="shared" si="12"/>
        <v>69225.804541149977</v>
      </c>
      <c r="H56" s="453">
        <f t="shared" si="13"/>
        <v>69225.804541149977</v>
      </c>
      <c r="I56" s="473">
        <f t="shared" si="3"/>
        <v>0</v>
      </c>
      <c r="J56" s="473"/>
      <c r="K56" s="485"/>
      <c r="L56" s="476">
        <f t="shared" si="14"/>
        <v>0</v>
      </c>
      <c r="M56" s="485"/>
      <c r="N56" s="476">
        <f t="shared" si="1"/>
        <v>0</v>
      </c>
      <c r="O56" s="476">
        <f t="shared" si="2"/>
        <v>0</v>
      </c>
      <c r="P56" s="241"/>
    </row>
    <row r="57" spans="2:16">
      <c r="B57" s="160" t="str">
        <f t="shared" si="5"/>
        <v/>
      </c>
      <c r="C57" s="470">
        <f>IF(D11="","-",+C56+1)</f>
        <v>2059</v>
      </c>
      <c r="D57" s="481">
        <f>IF(F56+SUM(E$17:E56)=D$10,F56,D$10-SUM(E$17:E56))</f>
        <v>0</v>
      </c>
      <c r="E57" s="482">
        <f t="shared" si="10"/>
        <v>0</v>
      </c>
      <c r="F57" s="483">
        <f t="shared" si="11"/>
        <v>0</v>
      </c>
      <c r="G57" s="484">
        <f t="shared" si="12"/>
        <v>0</v>
      </c>
      <c r="H57" s="453">
        <f t="shared" si="13"/>
        <v>0</v>
      </c>
      <c r="I57" s="473">
        <f t="shared" si="3"/>
        <v>0</v>
      </c>
      <c r="J57" s="473"/>
      <c r="K57" s="485"/>
      <c r="L57" s="476">
        <f t="shared" si="14"/>
        <v>0</v>
      </c>
      <c r="M57" s="485"/>
      <c r="N57" s="476">
        <f t="shared" si="1"/>
        <v>0</v>
      </c>
      <c r="O57" s="476">
        <f t="shared" si="2"/>
        <v>0</v>
      </c>
      <c r="P57" s="241"/>
    </row>
    <row r="58" spans="2:16">
      <c r="B58" s="160" t="str">
        <f t="shared" si="5"/>
        <v/>
      </c>
      <c r="C58" s="470">
        <f>IF(D11="","-",+C57+1)</f>
        <v>2060</v>
      </c>
      <c r="D58" s="481">
        <f>IF(F57+SUM(E$17:E57)=D$10,F57,D$10-SUM(E$17:E57))</f>
        <v>0</v>
      </c>
      <c r="E58" s="482">
        <f t="shared" si="10"/>
        <v>0</v>
      </c>
      <c r="F58" s="483">
        <f t="shared" si="11"/>
        <v>0</v>
      </c>
      <c r="G58" s="484">
        <f t="shared" si="12"/>
        <v>0</v>
      </c>
      <c r="H58" s="453">
        <f t="shared" si="13"/>
        <v>0</v>
      </c>
      <c r="I58" s="473">
        <f t="shared" si="3"/>
        <v>0</v>
      </c>
      <c r="J58" s="473"/>
      <c r="K58" s="485"/>
      <c r="L58" s="476">
        <f t="shared" si="14"/>
        <v>0</v>
      </c>
      <c r="M58" s="485"/>
      <c r="N58" s="476">
        <f t="shared" si="1"/>
        <v>0</v>
      </c>
      <c r="O58" s="476">
        <f t="shared" si="2"/>
        <v>0</v>
      </c>
      <c r="P58" s="241"/>
    </row>
    <row r="59" spans="2:16">
      <c r="B59" s="160" t="str">
        <f t="shared" si="5"/>
        <v/>
      </c>
      <c r="C59" s="470">
        <f>IF(D11="","-",+C58+1)</f>
        <v>2061</v>
      </c>
      <c r="D59" s="481">
        <f>IF(F58+SUM(E$17:E58)=D$10,F58,D$10-SUM(E$17:E58))</f>
        <v>0</v>
      </c>
      <c r="E59" s="482">
        <f t="shared" si="10"/>
        <v>0</v>
      </c>
      <c r="F59" s="483">
        <f t="shared" si="11"/>
        <v>0</v>
      </c>
      <c r="G59" s="484">
        <f t="shared" si="12"/>
        <v>0</v>
      </c>
      <c r="H59" s="453">
        <f t="shared" si="13"/>
        <v>0</v>
      </c>
      <c r="I59" s="473">
        <f t="shared" si="3"/>
        <v>0</v>
      </c>
      <c r="J59" s="473"/>
      <c r="K59" s="485"/>
      <c r="L59" s="476">
        <f t="shared" si="14"/>
        <v>0</v>
      </c>
      <c r="M59" s="485"/>
      <c r="N59" s="476">
        <f t="shared" si="1"/>
        <v>0</v>
      </c>
      <c r="O59" s="476">
        <f t="shared" si="2"/>
        <v>0</v>
      </c>
      <c r="P59" s="241"/>
    </row>
    <row r="60" spans="2:16">
      <c r="B60" s="160" t="str">
        <f t="shared" si="5"/>
        <v/>
      </c>
      <c r="C60" s="470">
        <f>IF(D11="","-",+C59+1)</f>
        <v>2062</v>
      </c>
      <c r="D60" s="481">
        <f>IF(F59+SUM(E$17:E59)=D$10,F59,D$10-SUM(E$17:E59))</f>
        <v>0</v>
      </c>
      <c r="E60" s="482">
        <f t="shared" si="10"/>
        <v>0</v>
      </c>
      <c r="F60" s="483">
        <f t="shared" si="11"/>
        <v>0</v>
      </c>
      <c r="G60" s="484">
        <f t="shared" si="12"/>
        <v>0</v>
      </c>
      <c r="H60" s="453">
        <f t="shared" si="13"/>
        <v>0</v>
      </c>
      <c r="I60" s="473">
        <f t="shared" si="3"/>
        <v>0</v>
      </c>
      <c r="J60" s="473"/>
      <c r="K60" s="485"/>
      <c r="L60" s="476">
        <f t="shared" si="14"/>
        <v>0</v>
      </c>
      <c r="M60" s="485"/>
      <c r="N60" s="476">
        <f t="shared" si="1"/>
        <v>0</v>
      </c>
      <c r="O60" s="476">
        <f t="shared" si="2"/>
        <v>0</v>
      </c>
      <c r="P60" s="241"/>
    </row>
    <row r="61" spans="2:16">
      <c r="B61" s="160" t="str">
        <f t="shared" si="5"/>
        <v/>
      </c>
      <c r="C61" s="470">
        <f>IF(D11="","-",+C60+1)</f>
        <v>2063</v>
      </c>
      <c r="D61" s="481">
        <f>IF(F60+SUM(E$17:E60)=D$10,F60,D$10-SUM(E$17:E60))</f>
        <v>0</v>
      </c>
      <c r="E61" s="482">
        <f t="shared" si="10"/>
        <v>0</v>
      </c>
      <c r="F61" s="483">
        <f t="shared" si="11"/>
        <v>0</v>
      </c>
      <c r="G61" s="484">
        <f t="shared" si="12"/>
        <v>0</v>
      </c>
      <c r="H61" s="453">
        <f t="shared" si="13"/>
        <v>0</v>
      </c>
      <c r="I61" s="473">
        <f t="shared" si="3"/>
        <v>0</v>
      </c>
      <c r="J61" s="473"/>
      <c r="K61" s="485"/>
      <c r="L61" s="476">
        <f t="shared" si="14"/>
        <v>0</v>
      </c>
      <c r="M61" s="485"/>
      <c r="N61" s="476">
        <f t="shared" si="1"/>
        <v>0</v>
      </c>
      <c r="O61" s="476">
        <f t="shared" si="2"/>
        <v>0</v>
      </c>
      <c r="P61" s="241"/>
    </row>
    <row r="62" spans="2:16">
      <c r="B62" s="160" t="str">
        <f t="shared" si="5"/>
        <v/>
      </c>
      <c r="C62" s="470">
        <f>IF(D11="","-",+C61+1)</f>
        <v>2064</v>
      </c>
      <c r="D62" s="481">
        <f>IF(F61+SUM(E$17:E61)=D$10,F61,D$10-SUM(E$17:E61))</f>
        <v>0</v>
      </c>
      <c r="E62" s="482">
        <f t="shared" si="10"/>
        <v>0</v>
      </c>
      <c r="F62" s="483">
        <f t="shared" si="11"/>
        <v>0</v>
      </c>
      <c r="G62" s="484">
        <f t="shared" si="12"/>
        <v>0</v>
      </c>
      <c r="H62" s="453">
        <f t="shared" si="13"/>
        <v>0</v>
      </c>
      <c r="I62" s="473">
        <f t="shared" si="3"/>
        <v>0</v>
      </c>
      <c r="J62" s="473"/>
      <c r="K62" s="485"/>
      <c r="L62" s="476">
        <f t="shared" si="14"/>
        <v>0</v>
      </c>
      <c r="M62" s="485"/>
      <c r="N62" s="476">
        <f t="shared" si="1"/>
        <v>0</v>
      </c>
      <c r="O62" s="476">
        <f t="shared" si="2"/>
        <v>0</v>
      </c>
      <c r="P62" s="241"/>
    </row>
    <row r="63" spans="2:16">
      <c r="B63" s="160" t="str">
        <f t="shared" si="5"/>
        <v/>
      </c>
      <c r="C63" s="470">
        <f>IF(D11="","-",+C62+1)</f>
        <v>2065</v>
      </c>
      <c r="D63" s="481">
        <f>IF(F62+SUM(E$17:E62)=D$10,F62,D$10-SUM(E$17:E62))</f>
        <v>0</v>
      </c>
      <c r="E63" s="482">
        <f t="shared" si="10"/>
        <v>0</v>
      </c>
      <c r="F63" s="483">
        <f t="shared" si="11"/>
        <v>0</v>
      </c>
      <c r="G63" s="484">
        <f t="shared" si="12"/>
        <v>0</v>
      </c>
      <c r="H63" s="453">
        <f t="shared" si="13"/>
        <v>0</v>
      </c>
      <c r="I63" s="473">
        <f t="shared" si="3"/>
        <v>0</v>
      </c>
      <c r="J63" s="473"/>
      <c r="K63" s="485"/>
      <c r="L63" s="476">
        <f t="shared" si="14"/>
        <v>0</v>
      </c>
      <c r="M63" s="485"/>
      <c r="N63" s="476">
        <f t="shared" si="1"/>
        <v>0</v>
      </c>
      <c r="O63" s="476">
        <f t="shared" si="2"/>
        <v>0</v>
      </c>
      <c r="P63" s="241"/>
    </row>
    <row r="64" spans="2:16">
      <c r="B64" s="160" t="str">
        <f t="shared" si="5"/>
        <v/>
      </c>
      <c r="C64" s="470">
        <f>IF(D11="","-",+C63+1)</f>
        <v>2066</v>
      </c>
      <c r="D64" s="481">
        <f>IF(F63+SUM(E$17:E63)=D$10,F63,D$10-SUM(E$17:E63))</f>
        <v>0</v>
      </c>
      <c r="E64" s="482">
        <f t="shared" si="10"/>
        <v>0</v>
      </c>
      <c r="F64" s="483">
        <f t="shared" si="11"/>
        <v>0</v>
      </c>
      <c r="G64" s="484">
        <f t="shared" si="12"/>
        <v>0</v>
      </c>
      <c r="H64" s="453">
        <f t="shared" si="13"/>
        <v>0</v>
      </c>
      <c r="I64" s="473">
        <f t="shared" si="3"/>
        <v>0</v>
      </c>
      <c r="J64" s="473"/>
      <c r="K64" s="485"/>
      <c r="L64" s="476">
        <f t="shared" si="14"/>
        <v>0</v>
      </c>
      <c r="M64" s="485"/>
      <c r="N64" s="476">
        <f t="shared" si="1"/>
        <v>0</v>
      </c>
      <c r="O64" s="476">
        <f t="shared" si="2"/>
        <v>0</v>
      </c>
      <c r="P64" s="241"/>
    </row>
    <row r="65" spans="2:16">
      <c r="B65" s="160" t="str">
        <f t="shared" si="5"/>
        <v/>
      </c>
      <c r="C65" s="470">
        <f>IF(D11="","-",+C64+1)</f>
        <v>2067</v>
      </c>
      <c r="D65" s="481">
        <f>IF(F64+SUM(E$17:E64)=D$10,F64,D$10-SUM(E$17:E64))</f>
        <v>0</v>
      </c>
      <c r="E65" s="482">
        <f t="shared" si="10"/>
        <v>0</v>
      </c>
      <c r="F65" s="483">
        <f t="shared" si="11"/>
        <v>0</v>
      </c>
      <c r="G65" s="484">
        <f t="shared" si="12"/>
        <v>0</v>
      </c>
      <c r="H65" s="453">
        <f t="shared" si="13"/>
        <v>0</v>
      </c>
      <c r="I65" s="473">
        <f t="shared" si="3"/>
        <v>0</v>
      </c>
      <c r="J65" s="473"/>
      <c r="K65" s="485"/>
      <c r="L65" s="476">
        <f t="shared" si="14"/>
        <v>0</v>
      </c>
      <c r="M65" s="485"/>
      <c r="N65" s="476">
        <f t="shared" si="1"/>
        <v>0</v>
      </c>
      <c r="O65" s="476">
        <f t="shared" si="2"/>
        <v>0</v>
      </c>
      <c r="P65" s="241"/>
    </row>
    <row r="66" spans="2:16">
      <c r="B66" s="160" t="str">
        <f t="shared" si="5"/>
        <v/>
      </c>
      <c r="C66" s="470">
        <f>IF(D11="","-",+C65+1)</f>
        <v>2068</v>
      </c>
      <c r="D66" s="481">
        <f>IF(F65+SUM(E$17:E65)=D$10,F65,D$10-SUM(E$17:E65))</f>
        <v>0</v>
      </c>
      <c r="E66" s="482">
        <f t="shared" si="10"/>
        <v>0</v>
      </c>
      <c r="F66" s="483">
        <f t="shared" si="11"/>
        <v>0</v>
      </c>
      <c r="G66" s="484">
        <f t="shared" si="12"/>
        <v>0</v>
      </c>
      <c r="H66" s="453">
        <f t="shared" si="13"/>
        <v>0</v>
      </c>
      <c r="I66" s="473">
        <f t="shared" si="3"/>
        <v>0</v>
      </c>
      <c r="J66" s="473"/>
      <c r="K66" s="485"/>
      <c r="L66" s="476">
        <f t="shared" si="14"/>
        <v>0</v>
      </c>
      <c r="M66" s="485"/>
      <c r="N66" s="476">
        <f t="shared" si="1"/>
        <v>0</v>
      </c>
      <c r="O66" s="476">
        <f t="shared" si="2"/>
        <v>0</v>
      </c>
      <c r="P66" s="241"/>
    </row>
    <row r="67" spans="2:16">
      <c r="B67" s="160" t="str">
        <f t="shared" si="5"/>
        <v/>
      </c>
      <c r="C67" s="470">
        <f>IF(D11="","-",+C66+1)</f>
        <v>2069</v>
      </c>
      <c r="D67" s="481">
        <f>IF(F66+SUM(E$17:E66)=D$10,F66,D$10-SUM(E$17:E66))</f>
        <v>0</v>
      </c>
      <c r="E67" s="482">
        <f t="shared" si="10"/>
        <v>0</v>
      </c>
      <c r="F67" s="483">
        <f t="shared" si="11"/>
        <v>0</v>
      </c>
      <c r="G67" s="484">
        <f t="shared" si="12"/>
        <v>0</v>
      </c>
      <c r="H67" s="453">
        <f t="shared" si="13"/>
        <v>0</v>
      </c>
      <c r="I67" s="473">
        <f t="shared" si="3"/>
        <v>0</v>
      </c>
      <c r="J67" s="473"/>
      <c r="K67" s="485"/>
      <c r="L67" s="476">
        <f t="shared" si="14"/>
        <v>0</v>
      </c>
      <c r="M67" s="485"/>
      <c r="N67" s="476">
        <f t="shared" si="1"/>
        <v>0</v>
      </c>
      <c r="O67" s="476">
        <f t="shared" si="2"/>
        <v>0</v>
      </c>
      <c r="P67" s="241"/>
    </row>
    <row r="68" spans="2:16">
      <c r="B68" s="160" t="str">
        <f t="shared" si="5"/>
        <v/>
      </c>
      <c r="C68" s="470">
        <f>IF(D11="","-",+C67+1)</f>
        <v>2070</v>
      </c>
      <c r="D68" s="481">
        <f>IF(F67+SUM(E$17:E67)=D$10,F67,D$10-SUM(E$17:E67))</f>
        <v>0</v>
      </c>
      <c r="E68" s="482">
        <f t="shared" si="10"/>
        <v>0</v>
      </c>
      <c r="F68" s="483">
        <f t="shared" si="11"/>
        <v>0</v>
      </c>
      <c r="G68" s="484">
        <f t="shared" si="12"/>
        <v>0</v>
      </c>
      <c r="H68" s="453">
        <f t="shared" si="13"/>
        <v>0</v>
      </c>
      <c r="I68" s="473">
        <f t="shared" si="3"/>
        <v>0</v>
      </c>
      <c r="J68" s="473"/>
      <c r="K68" s="485"/>
      <c r="L68" s="476">
        <f t="shared" si="14"/>
        <v>0</v>
      </c>
      <c r="M68" s="485"/>
      <c r="N68" s="476">
        <f t="shared" si="1"/>
        <v>0</v>
      </c>
      <c r="O68" s="476">
        <f t="shared" si="2"/>
        <v>0</v>
      </c>
      <c r="P68" s="241"/>
    </row>
    <row r="69" spans="2:16">
      <c r="B69" s="160" t="str">
        <f t="shared" si="5"/>
        <v/>
      </c>
      <c r="C69" s="470">
        <f>IF(D11="","-",+C68+1)</f>
        <v>2071</v>
      </c>
      <c r="D69" s="481">
        <f>IF(F68+SUM(E$17:E68)=D$10,F68,D$10-SUM(E$17:E68))</f>
        <v>0</v>
      </c>
      <c r="E69" s="482">
        <f t="shared" si="10"/>
        <v>0</v>
      </c>
      <c r="F69" s="483">
        <f t="shared" si="11"/>
        <v>0</v>
      </c>
      <c r="G69" s="484">
        <f t="shared" si="12"/>
        <v>0</v>
      </c>
      <c r="H69" s="453">
        <f t="shared" si="13"/>
        <v>0</v>
      </c>
      <c r="I69" s="473">
        <f t="shared" si="3"/>
        <v>0</v>
      </c>
      <c r="J69" s="473"/>
      <c r="K69" s="485"/>
      <c r="L69" s="476">
        <f t="shared" si="14"/>
        <v>0</v>
      </c>
      <c r="M69" s="485"/>
      <c r="N69" s="476">
        <f t="shared" si="1"/>
        <v>0</v>
      </c>
      <c r="O69" s="476">
        <f t="shared" si="2"/>
        <v>0</v>
      </c>
      <c r="P69" s="241"/>
    </row>
    <row r="70" spans="2:16">
      <c r="B70" s="160" t="str">
        <f t="shared" si="5"/>
        <v/>
      </c>
      <c r="C70" s="470">
        <f>IF(D11="","-",+C69+1)</f>
        <v>2072</v>
      </c>
      <c r="D70" s="481">
        <f>IF(F69+SUM(E$17:E69)=D$10,F69,D$10-SUM(E$17:E69))</f>
        <v>0</v>
      </c>
      <c r="E70" s="482">
        <f t="shared" si="10"/>
        <v>0</v>
      </c>
      <c r="F70" s="483">
        <f t="shared" si="11"/>
        <v>0</v>
      </c>
      <c r="G70" s="484">
        <f t="shared" si="12"/>
        <v>0</v>
      </c>
      <c r="H70" s="453">
        <f t="shared" si="13"/>
        <v>0</v>
      </c>
      <c r="I70" s="473">
        <f t="shared" si="3"/>
        <v>0</v>
      </c>
      <c r="J70" s="473"/>
      <c r="K70" s="485"/>
      <c r="L70" s="476">
        <f t="shared" si="14"/>
        <v>0</v>
      </c>
      <c r="M70" s="485"/>
      <c r="N70" s="476">
        <f t="shared" si="1"/>
        <v>0</v>
      </c>
      <c r="O70" s="476">
        <f t="shared" si="2"/>
        <v>0</v>
      </c>
      <c r="P70" s="241"/>
    </row>
    <row r="71" spans="2:16">
      <c r="B71" s="160" t="str">
        <f t="shared" si="5"/>
        <v/>
      </c>
      <c r="C71" s="470">
        <f>IF(D11="","-",+C70+1)</f>
        <v>2073</v>
      </c>
      <c r="D71" s="481">
        <f>IF(F70+SUM(E$17:E70)=D$10,F70,D$10-SUM(E$17:E70))</f>
        <v>0</v>
      </c>
      <c r="E71" s="482">
        <f t="shared" si="10"/>
        <v>0</v>
      </c>
      <c r="F71" s="483">
        <f t="shared" si="11"/>
        <v>0</v>
      </c>
      <c r="G71" s="484">
        <f t="shared" si="12"/>
        <v>0</v>
      </c>
      <c r="H71" s="453">
        <f t="shared" si="13"/>
        <v>0</v>
      </c>
      <c r="I71" s="473">
        <f t="shared" si="3"/>
        <v>0</v>
      </c>
      <c r="J71" s="473"/>
      <c r="K71" s="485"/>
      <c r="L71" s="476">
        <f t="shared" si="14"/>
        <v>0</v>
      </c>
      <c r="M71" s="485"/>
      <c r="N71" s="476">
        <f t="shared" si="1"/>
        <v>0</v>
      </c>
      <c r="O71" s="476">
        <f t="shared" si="2"/>
        <v>0</v>
      </c>
      <c r="P71" s="241"/>
    </row>
    <row r="72" spans="2:16" ht="13.5" thickBot="1">
      <c r="B72" s="160" t="str">
        <f t="shared" si="5"/>
        <v/>
      </c>
      <c r="C72" s="487">
        <f>IF(D11="","-",+C71+1)</f>
        <v>2074</v>
      </c>
      <c r="D72" s="610">
        <f>IF(F71+SUM(E$17:E71)=D$10,F71,D$10-SUM(E$17:E71))</f>
        <v>0</v>
      </c>
      <c r="E72" s="489">
        <f>IF(+I$14&lt;F71,I$14,D72)</f>
        <v>0</v>
      </c>
      <c r="F72" s="488">
        <f>+D72-E72</f>
        <v>0</v>
      </c>
      <c r="G72" s="542">
        <f>(D72+F72)/2*I$12+E72</f>
        <v>0</v>
      </c>
      <c r="H72" s="433">
        <f>+(D72+F72)/2*I$13+E72</f>
        <v>0</v>
      </c>
      <c r="I72" s="491">
        <f>H72-G72</f>
        <v>0</v>
      </c>
      <c r="J72" s="473"/>
      <c r="K72" s="492"/>
      <c r="L72" s="493">
        <f t="shared" si="14"/>
        <v>0</v>
      </c>
      <c r="M72" s="492"/>
      <c r="N72" s="493">
        <f t="shared" si="1"/>
        <v>0</v>
      </c>
      <c r="O72" s="493">
        <f t="shared" si="2"/>
        <v>0</v>
      </c>
      <c r="P72" s="241"/>
    </row>
    <row r="73" spans="2:16">
      <c r="C73" s="345" t="s">
        <v>77</v>
      </c>
      <c r="D73" s="346"/>
      <c r="E73" s="346">
        <f>SUM(E17:E72)</f>
        <v>8147276.8699999973</v>
      </c>
      <c r="F73" s="346"/>
      <c r="G73" s="346">
        <f>SUM(G17:G72)</f>
        <v>26244411.322086565</v>
      </c>
      <c r="H73" s="346">
        <f>SUM(H17:H72)</f>
        <v>26244411.322086565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26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1019988.1643084703</v>
      </c>
      <c r="N87" s="506">
        <f>IF(J92&lt;D11,0,VLOOKUP(J92,C17:O72,11))</f>
        <v>1019988.1643084703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1052319.106232034</v>
      </c>
      <c r="N88" s="510">
        <f>IF(J92&lt;D11,0,VLOOKUP(J92,C99:P154,7))</f>
        <v>1052319.106232034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Tulsa Southeast - E. 61st St 138 kV Rebuild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32330.941923563718</v>
      </c>
      <c r="N89" s="515">
        <f>+N88-N87</f>
        <v>32330.941923563718</v>
      </c>
      <c r="O89" s="516">
        <f>+O88-O87</f>
        <v>0</v>
      </c>
      <c r="P89" s="231"/>
    </row>
    <row r="90" spans="1:16" ht="13.5" thickBot="1">
      <c r="C90" s="494"/>
      <c r="D90" s="517">
        <f>D8</f>
        <v>0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TP2017011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524">
        <v>8147701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v>2019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v>12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198724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2019</v>
      </c>
      <c r="D99" s="582">
        <v>0</v>
      </c>
      <c r="E99" s="606">
        <v>0</v>
      </c>
      <c r="F99" s="582">
        <v>6388896</v>
      </c>
      <c r="G99" s="606">
        <v>3194448</v>
      </c>
      <c r="H99" s="585">
        <v>329392.39438521734</v>
      </c>
      <c r="I99" s="605">
        <v>329392.39438521734</v>
      </c>
      <c r="J99" s="476">
        <f>+I99-H99</f>
        <v>0</v>
      </c>
      <c r="K99" s="476"/>
      <c r="L99" s="475">
        <f>+H99</f>
        <v>329392.39438521734</v>
      </c>
      <c r="M99" s="475">
        <f t="shared" ref="M99" si="15">IF(L99&lt;&gt;0,+H99-L99,0)</f>
        <v>0</v>
      </c>
      <c r="N99" s="475">
        <f>+I99</f>
        <v>329392.39438521734</v>
      </c>
      <c r="O99" s="475">
        <f t="shared" ref="O99:O130" si="16">IF(N99&lt;&gt;0,+I99-N99,0)</f>
        <v>0</v>
      </c>
      <c r="P99" s="475">
        <f t="shared" ref="P99:P130" si="17">+O99-M99</f>
        <v>0</v>
      </c>
    </row>
    <row r="100" spans="1:16">
      <c r="B100" s="160" t="str">
        <f>IF(D100=F99,"","IU")</f>
        <v>IU</v>
      </c>
      <c r="C100" s="470">
        <f>IF(D93="","-",+C99+1)</f>
        <v>2020</v>
      </c>
      <c r="D100" s="576">
        <v>8144614</v>
      </c>
      <c r="E100" s="577">
        <v>189410</v>
      </c>
      <c r="F100" s="576">
        <v>7955204</v>
      </c>
      <c r="G100" s="577">
        <v>8049909</v>
      </c>
      <c r="H100" s="600">
        <v>1117542.3763000495</v>
      </c>
      <c r="I100" s="576">
        <v>1117542.3763000495</v>
      </c>
      <c r="J100" s="476">
        <f t="shared" ref="J100:J130" si="18">+I100-H100</f>
        <v>0</v>
      </c>
      <c r="K100" s="476"/>
      <c r="L100" s="474">
        <f>H100</f>
        <v>1117542.3763000495</v>
      </c>
      <c r="M100" s="347">
        <f>IF(L100&lt;&gt;0,+H100-L100,0)</f>
        <v>0</v>
      </c>
      <c r="N100" s="474">
        <f>I100</f>
        <v>1117542.3763000495</v>
      </c>
      <c r="O100" s="476">
        <f t="shared" si="16"/>
        <v>0</v>
      </c>
      <c r="P100" s="476">
        <f t="shared" si="17"/>
        <v>0</v>
      </c>
    </row>
    <row r="101" spans="1:16">
      <c r="B101" s="160" t="str">
        <f t="shared" ref="B101:B154" si="19">IF(D101=F100,"","IU")</f>
        <v>IU</v>
      </c>
      <c r="C101" s="470">
        <f>IF(D93="","-",+C100+1)</f>
        <v>2021</v>
      </c>
      <c r="D101" s="576">
        <v>7958291</v>
      </c>
      <c r="E101" s="577">
        <v>198724</v>
      </c>
      <c r="F101" s="576">
        <v>7759567</v>
      </c>
      <c r="G101" s="577">
        <v>7858929</v>
      </c>
      <c r="H101" s="600">
        <v>1093013.4811459687</v>
      </c>
      <c r="I101" s="576">
        <v>1093013.4811459687</v>
      </c>
      <c r="J101" s="476">
        <f t="shared" si="18"/>
        <v>0</v>
      </c>
      <c r="K101" s="476"/>
      <c r="L101" s="474">
        <f>H101</f>
        <v>1093013.4811459687</v>
      </c>
      <c r="M101" s="347">
        <f>IF(L101&lt;&gt;0,+H101-L101,0)</f>
        <v>0</v>
      </c>
      <c r="N101" s="474">
        <f>I101</f>
        <v>1093013.4811459687</v>
      </c>
      <c r="O101" s="476">
        <f t="shared" ref="O101" si="20">IF(N101&lt;&gt;0,+I101-N101,0)</f>
        <v>0</v>
      </c>
      <c r="P101" s="476">
        <f t="shared" ref="P101" si="21">+O101-M101</f>
        <v>0</v>
      </c>
    </row>
    <row r="102" spans="1:16">
      <c r="B102" s="160" t="str">
        <f t="shared" si="19"/>
        <v>IU</v>
      </c>
      <c r="C102" s="631">
        <f>IF(D93="","-",+C101+1)</f>
        <v>2022</v>
      </c>
      <c r="D102" s="345">
        <v>7759143</v>
      </c>
      <c r="E102" s="482">
        <v>208905</v>
      </c>
      <c r="F102" s="483">
        <v>7550238</v>
      </c>
      <c r="G102" s="483">
        <v>7654690.5</v>
      </c>
      <c r="H102" s="611">
        <v>1052319.106232034</v>
      </c>
      <c r="I102" s="612">
        <v>1052319.106232034</v>
      </c>
      <c r="J102" s="476">
        <f t="shared" si="18"/>
        <v>0</v>
      </c>
      <c r="K102" s="476"/>
      <c r="L102" s="485"/>
      <c r="M102" s="476">
        <f t="shared" ref="M102:M130" si="22">IF(L102&lt;&gt;0,+H102-L102,0)</f>
        <v>0</v>
      </c>
      <c r="N102" s="485"/>
      <c r="O102" s="476">
        <f t="shared" si="16"/>
        <v>0</v>
      </c>
      <c r="P102" s="476">
        <f t="shared" si="17"/>
        <v>0</v>
      </c>
    </row>
    <row r="103" spans="1:16">
      <c r="B103" s="160" t="str">
        <f t="shared" si="19"/>
        <v>IU</v>
      </c>
      <c r="C103" s="470">
        <f>IF(D93="","-",+C102+1)</f>
        <v>2023</v>
      </c>
      <c r="D103" s="345">
        <f>IF(F102+SUM(E$99:E102)=D$92,F102,D$92-SUM(E$99:E102))</f>
        <v>7550662</v>
      </c>
      <c r="E103" s="482">
        <f t="shared" ref="E103:E154" si="23">IF(+J$96&lt;F102,J$96,D103)</f>
        <v>198724</v>
      </c>
      <c r="F103" s="483">
        <f t="shared" ref="F103:F154" si="24">+D103-E103</f>
        <v>7351938</v>
      </c>
      <c r="G103" s="483">
        <f t="shared" ref="G103:G154" si="25">+(F103+D103)/2</f>
        <v>7451300</v>
      </c>
      <c r="H103" s="611">
        <f t="shared" ref="H103:H154" si="26">+J$94*G103+E103</f>
        <v>1046628.2387153463</v>
      </c>
      <c r="I103" s="612">
        <f t="shared" ref="I103:I154" si="27">+J$95*G103+E103</f>
        <v>1046628.2387153463</v>
      </c>
      <c r="J103" s="476">
        <f t="shared" si="18"/>
        <v>0</v>
      </c>
      <c r="K103" s="476"/>
      <c r="L103" s="485"/>
      <c r="M103" s="476">
        <f t="shared" si="22"/>
        <v>0</v>
      </c>
      <c r="N103" s="485"/>
      <c r="O103" s="476">
        <f t="shared" si="16"/>
        <v>0</v>
      </c>
      <c r="P103" s="476">
        <f t="shared" si="17"/>
        <v>0</v>
      </c>
    </row>
    <row r="104" spans="1:16">
      <c r="B104" s="160" t="str">
        <f t="shared" si="19"/>
        <v/>
      </c>
      <c r="C104" s="470">
        <f>IF(D93="","-",+C103+1)</f>
        <v>2024</v>
      </c>
      <c r="D104" s="345">
        <f>IF(F103+SUM(E$99:E103)=D$92,F103,D$92-SUM(E$99:E103))</f>
        <v>7351938</v>
      </c>
      <c r="E104" s="482">
        <f t="shared" si="23"/>
        <v>198724</v>
      </c>
      <c r="F104" s="483">
        <f t="shared" si="24"/>
        <v>7153214</v>
      </c>
      <c r="G104" s="483">
        <f t="shared" si="25"/>
        <v>7252576</v>
      </c>
      <c r="H104" s="611">
        <f t="shared" si="26"/>
        <v>1024014.8797129616</v>
      </c>
      <c r="I104" s="612">
        <f t="shared" si="27"/>
        <v>1024014.8797129616</v>
      </c>
      <c r="J104" s="476">
        <f t="shared" si="18"/>
        <v>0</v>
      </c>
      <c r="K104" s="476"/>
      <c r="L104" s="485"/>
      <c r="M104" s="476">
        <f t="shared" si="22"/>
        <v>0</v>
      </c>
      <c r="N104" s="485"/>
      <c r="O104" s="476">
        <f t="shared" si="16"/>
        <v>0</v>
      </c>
      <c r="P104" s="476">
        <f t="shared" si="17"/>
        <v>0</v>
      </c>
    </row>
    <row r="105" spans="1:16">
      <c r="B105" s="160" t="str">
        <f t="shared" si="19"/>
        <v/>
      </c>
      <c r="C105" s="470">
        <f>IF(D93="","-",+C104+1)</f>
        <v>2025</v>
      </c>
      <c r="D105" s="345">
        <f>IF(F104+SUM(E$99:E104)=D$92,F104,D$92-SUM(E$99:E104))</f>
        <v>7153214</v>
      </c>
      <c r="E105" s="482">
        <f t="shared" si="23"/>
        <v>198724</v>
      </c>
      <c r="F105" s="483">
        <f t="shared" si="24"/>
        <v>6954490</v>
      </c>
      <c r="G105" s="483">
        <f t="shared" si="25"/>
        <v>7053852</v>
      </c>
      <c r="H105" s="611">
        <f t="shared" si="26"/>
        <v>1001401.520710577</v>
      </c>
      <c r="I105" s="612">
        <f t="shared" si="27"/>
        <v>1001401.520710577</v>
      </c>
      <c r="J105" s="476">
        <f t="shared" si="18"/>
        <v>0</v>
      </c>
      <c r="K105" s="476"/>
      <c r="L105" s="485"/>
      <c r="M105" s="476">
        <f t="shared" si="22"/>
        <v>0</v>
      </c>
      <c r="N105" s="485"/>
      <c r="O105" s="476">
        <f t="shared" si="16"/>
        <v>0</v>
      </c>
      <c r="P105" s="476">
        <f t="shared" si="17"/>
        <v>0</v>
      </c>
    </row>
    <row r="106" spans="1:16">
      <c r="B106" s="160" t="str">
        <f t="shared" si="19"/>
        <v/>
      </c>
      <c r="C106" s="470">
        <f>IF(D93="","-",+C105+1)</f>
        <v>2026</v>
      </c>
      <c r="D106" s="345">
        <f>IF(F105+SUM(E$99:E105)=D$92,F105,D$92-SUM(E$99:E105))</f>
        <v>6954490</v>
      </c>
      <c r="E106" s="482">
        <f t="shared" si="23"/>
        <v>198724</v>
      </c>
      <c r="F106" s="483">
        <f t="shared" si="24"/>
        <v>6755766</v>
      </c>
      <c r="G106" s="483">
        <f t="shared" si="25"/>
        <v>6855128</v>
      </c>
      <c r="H106" s="611">
        <f t="shared" si="26"/>
        <v>978788.16170819243</v>
      </c>
      <c r="I106" s="612">
        <f t="shared" si="27"/>
        <v>978788.16170819243</v>
      </c>
      <c r="J106" s="476">
        <f t="shared" si="18"/>
        <v>0</v>
      </c>
      <c r="K106" s="476"/>
      <c r="L106" s="485"/>
      <c r="M106" s="476">
        <f t="shared" si="22"/>
        <v>0</v>
      </c>
      <c r="N106" s="485"/>
      <c r="O106" s="476">
        <f t="shared" si="16"/>
        <v>0</v>
      </c>
      <c r="P106" s="476">
        <f t="shared" si="17"/>
        <v>0</v>
      </c>
    </row>
    <row r="107" spans="1:16">
      <c r="B107" s="160" t="str">
        <f t="shared" si="19"/>
        <v/>
      </c>
      <c r="C107" s="470">
        <f>IF(D93="","-",+C106+1)</f>
        <v>2027</v>
      </c>
      <c r="D107" s="345">
        <f>IF(F106+SUM(E$99:E106)=D$92,F106,D$92-SUM(E$99:E106))</f>
        <v>6755766</v>
      </c>
      <c r="E107" s="482">
        <f t="shared" si="23"/>
        <v>198724</v>
      </c>
      <c r="F107" s="483">
        <f t="shared" si="24"/>
        <v>6557042</v>
      </c>
      <c r="G107" s="483">
        <f t="shared" si="25"/>
        <v>6656404</v>
      </c>
      <c r="H107" s="611">
        <f t="shared" si="26"/>
        <v>956174.80270580784</v>
      </c>
      <c r="I107" s="612">
        <f t="shared" si="27"/>
        <v>956174.80270580784</v>
      </c>
      <c r="J107" s="476">
        <f t="shared" si="18"/>
        <v>0</v>
      </c>
      <c r="K107" s="476"/>
      <c r="L107" s="485"/>
      <c r="M107" s="476">
        <f t="shared" si="22"/>
        <v>0</v>
      </c>
      <c r="N107" s="485"/>
      <c r="O107" s="476">
        <f t="shared" si="16"/>
        <v>0</v>
      </c>
      <c r="P107" s="476">
        <f t="shared" si="17"/>
        <v>0</v>
      </c>
    </row>
    <row r="108" spans="1:16">
      <c r="B108" s="160" t="str">
        <f t="shared" si="19"/>
        <v/>
      </c>
      <c r="C108" s="470">
        <f>IF(D93="","-",+C107+1)</f>
        <v>2028</v>
      </c>
      <c r="D108" s="345">
        <f>IF(F107+SUM(E$99:E107)=D$92,F107,D$92-SUM(E$99:E107))</f>
        <v>6557042</v>
      </c>
      <c r="E108" s="482">
        <f t="shared" si="23"/>
        <v>198724</v>
      </c>
      <c r="F108" s="483">
        <f t="shared" si="24"/>
        <v>6358318</v>
      </c>
      <c r="G108" s="483">
        <f t="shared" si="25"/>
        <v>6457680</v>
      </c>
      <c r="H108" s="611">
        <f t="shared" si="26"/>
        <v>933561.44370342325</v>
      </c>
      <c r="I108" s="612">
        <f t="shared" si="27"/>
        <v>933561.44370342325</v>
      </c>
      <c r="J108" s="476">
        <f t="shared" si="18"/>
        <v>0</v>
      </c>
      <c r="K108" s="476"/>
      <c r="L108" s="485"/>
      <c r="M108" s="476">
        <f t="shared" si="22"/>
        <v>0</v>
      </c>
      <c r="N108" s="485"/>
      <c r="O108" s="476">
        <f t="shared" si="16"/>
        <v>0</v>
      </c>
      <c r="P108" s="476">
        <f t="shared" si="17"/>
        <v>0</v>
      </c>
    </row>
    <row r="109" spans="1:16">
      <c r="B109" s="160" t="str">
        <f t="shared" si="19"/>
        <v/>
      </c>
      <c r="C109" s="470">
        <f>IF(D93="","-",+C108+1)</f>
        <v>2029</v>
      </c>
      <c r="D109" s="345">
        <f>IF(F108+SUM(E$99:E108)=D$92,F108,D$92-SUM(E$99:E108))</f>
        <v>6358318</v>
      </c>
      <c r="E109" s="482">
        <f t="shared" si="23"/>
        <v>198724</v>
      </c>
      <c r="F109" s="483">
        <f t="shared" si="24"/>
        <v>6159594</v>
      </c>
      <c r="G109" s="483">
        <f t="shared" si="25"/>
        <v>6258956</v>
      </c>
      <c r="H109" s="611">
        <f t="shared" si="26"/>
        <v>910948.08470103855</v>
      </c>
      <c r="I109" s="612">
        <f t="shared" si="27"/>
        <v>910948.08470103855</v>
      </c>
      <c r="J109" s="476">
        <f t="shared" si="18"/>
        <v>0</v>
      </c>
      <c r="K109" s="476"/>
      <c r="L109" s="485"/>
      <c r="M109" s="476">
        <f t="shared" si="22"/>
        <v>0</v>
      </c>
      <c r="N109" s="485"/>
      <c r="O109" s="476">
        <f t="shared" si="16"/>
        <v>0</v>
      </c>
      <c r="P109" s="476">
        <f t="shared" si="17"/>
        <v>0</v>
      </c>
    </row>
    <row r="110" spans="1:16">
      <c r="B110" s="160" t="str">
        <f t="shared" si="19"/>
        <v/>
      </c>
      <c r="C110" s="470">
        <f>IF(D93="","-",+C109+1)</f>
        <v>2030</v>
      </c>
      <c r="D110" s="345">
        <f>IF(F109+SUM(E$99:E109)=D$92,F109,D$92-SUM(E$99:E109))</f>
        <v>6159594</v>
      </c>
      <c r="E110" s="482">
        <f t="shared" si="23"/>
        <v>198724</v>
      </c>
      <c r="F110" s="483">
        <f t="shared" si="24"/>
        <v>5960870</v>
      </c>
      <c r="G110" s="483">
        <f t="shared" si="25"/>
        <v>6060232</v>
      </c>
      <c r="H110" s="611">
        <f t="shared" si="26"/>
        <v>888334.72569865396</v>
      </c>
      <c r="I110" s="612">
        <f t="shared" si="27"/>
        <v>888334.72569865396</v>
      </c>
      <c r="J110" s="476">
        <f t="shared" si="18"/>
        <v>0</v>
      </c>
      <c r="K110" s="476"/>
      <c r="L110" s="485"/>
      <c r="M110" s="476">
        <f t="shared" si="22"/>
        <v>0</v>
      </c>
      <c r="N110" s="485"/>
      <c r="O110" s="476">
        <f t="shared" si="16"/>
        <v>0</v>
      </c>
      <c r="P110" s="476">
        <f t="shared" si="17"/>
        <v>0</v>
      </c>
    </row>
    <row r="111" spans="1:16">
      <c r="B111" s="160" t="str">
        <f t="shared" si="19"/>
        <v/>
      </c>
      <c r="C111" s="470">
        <f>IF(D93="","-",+C110+1)</f>
        <v>2031</v>
      </c>
      <c r="D111" s="345">
        <f>IF(F110+SUM(E$99:E110)=D$92,F110,D$92-SUM(E$99:E110))</f>
        <v>5960870</v>
      </c>
      <c r="E111" s="482">
        <f t="shared" si="23"/>
        <v>198724</v>
      </c>
      <c r="F111" s="483">
        <f t="shared" si="24"/>
        <v>5762146</v>
      </c>
      <c r="G111" s="483">
        <f t="shared" si="25"/>
        <v>5861508</v>
      </c>
      <c r="H111" s="611">
        <f t="shared" si="26"/>
        <v>865721.36669626937</v>
      </c>
      <c r="I111" s="612">
        <f t="shared" si="27"/>
        <v>865721.36669626937</v>
      </c>
      <c r="J111" s="476">
        <f t="shared" si="18"/>
        <v>0</v>
      </c>
      <c r="K111" s="476"/>
      <c r="L111" s="485"/>
      <c r="M111" s="476">
        <f t="shared" si="22"/>
        <v>0</v>
      </c>
      <c r="N111" s="485"/>
      <c r="O111" s="476">
        <f t="shared" si="16"/>
        <v>0</v>
      </c>
      <c r="P111" s="476">
        <f t="shared" si="17"/>
        <v>0</v>
      </c>
    </row>
    <row r="112" spans="1:16">
      <c r="B112" s="160" t="str">
        <f t="shared" si="19"/>
        <v/>
      </c>
      <c r="C112" s="470">
        <f>IF(D93="","-",+C111+1)</f>
        <v>2032</v>
      </c>
      <c r="D112" s="345">
        <f>IF(F111+SUM(E$99:E111)=D$92,F111,D$92-SUM(E$99:E111))</f>
        <v>5762146</v>
      </c>
      <c r="E112" s="482">
        <f t="shared" si="23"/>
        <v>198724</v>
      </c>
      <c r="F112" s="483">
        <f t="shared" si="24"/>
        <v>5563422</v>
      </c>
      <c r="G112" s="483">
        <f t="shared" si="25"/>
        <v>5662784</v>
      </c>
      <c r="H112" s="611">
        <f t="shared" si="26"/>
        <v>843108.00769388478</v>
      </c>
      <c r="I112" s="612">
        <f t="shared" si="27"/>
        <v>843108.00769388478</v>
      </c>
      <c r="J112" s="476">
        <f t="shared" si="18"/>
        <v>0</v>
      </c>
      <c r="K112" s="476"/>
      <c r="L112" s="485"/>
      <c r="M112" s="476">
        <f t="shared" si="22"/>
        <v>0</v>
      </c>
      <c r="N112" s="485"/>
      <c r="O112" s="476">
        <f t="shared" si="16"/>
        <v>0</v>
      </c>
      <c r="P112" s="476">
        <f t="shared" si="17"/>
        <v>0</v>
      </c>
    </row>
    <row r="113" spans="2:16">
      <c r="B113" s="160" t="str">
        <f t="shared" si="19"/>
        <v/>
      </c>
      <c r="C113" s="470">
        <f>IF(D93="","-",+C112+1)</f>
        <v>2033</v>
      </c>
      <c r="D113" s="345">
        <f>IF(F112+SUM(E$99:E112)=D$92,F112,D$92-SUM(E$99:E112))</f>
        <v>5563422</v>
      </c>
      <c r="E113" s="482">
        <f t="shared" si="23"/>
        <v>198724</v>
      </c>
      <c r="F113" s="483">
        <f t="shared" si="24"/>
        <v>5364698</v>
      </c>
      <c r="G113" s="483">
        <f t="shared" si="25"/>
        <v>5464060</v>
      </c>
      <c r="H113" s="611">
        <f t="shared" si="26"/>
        <v>820494.64869150007</v>
      </c>
      <c r="I113" s="612">
        <f t="shared" si="27"/>
        <v>820494.64869150007</v>
      </c>
      <c r="J113" s="476">
        <f t="shared" si="18"/>
        <v>0</v>
      </c>
      <c r="K113" s="476"/>
      <c r="L113" s="485"/>
      <c r="M113" s="476">
        <f t="shared" si="22"/>
        <v>0</v>
      </c>
      <c r="N113" s="485"/>
      <c r="O113" s="476">
        <f t="shared" si="16"/>
        <v>0</v>
      </c>
      <c r="P113" s="476">
        <f t="shared" si="17"/>
        <v>0</v>
      </c>
    </row>
    <row r="114" spans="2:16">
      <c r="B114" s="160" t="str">
        <f t="shared" si="19"/>
        <v/>
      </c>
      <c r="C114" s="470">
        <f>IF(D93="","-",+C113+1)</f>
        <v>2034</v>
      </c>
      <c r="D114" s="345">
        <f>IF(F113+SUM(E$99:E113)=D$92,F113,D$92-SUM(E$99:E113))</f>
        <v>5364698</v>
      </c>
      <c r="E114" s="482">
        <f t="shared" si="23"/>
        <v>198724</v>
      </c>
      <c r="F114" s="483">
        <f t="shared" si="24"/>
        <v>5165974</v>
      </c>
      <c r="G114" s="483">
        <f t="shared" si="25"/>
        <v>5265336</v>
      </c>
      <c r="H114" s="611">
        <f t="shared" si="26"/>
        <v>797881.28968911548</v>
      </c>
      <c r="I114" s="612">
        <f t="shared" si="27"/>
        <v>797881.28968911548</v>
      </c>
      <c r="J114" s="476">
        <f t="shared" si="18"/>
        <v>0</v>
      </c>
      <c r="K114" s="476"/>
      <c r="L114" s="485"/>
      <c r="M114" s="476">
        <f t="shared" si="22"/>
        <v>0</v>
      </c>
      <c r="N114" s="485"/>
      <c r="O114" s="476">
        <f t="shared" si="16"/>
        <v>0</v>
      </c>
      <c r="P114" s="476">
        <f t="shared" si="17"/>
        <v>0</v>
      </c>
    </row>
    <row r="115" spans="2:16">
      <c r="B115" s="160" t="str">
        <f t="shared" si="19"/>
        <v/>
      </c>
      <c r="C115" s="470">
        <f>IF(D93="","-",+C114+1)</f>
        <v>2035</v>
      </c>
      <c r="D115" s="345">
        <f>IF(F114+SUM(E$99:E114)=D$92,F114,D$92-SUM(E$99:E114))</f>
        <v>5165974</v>
      </c>
      <c r="E115" s="482">
        <f t="shared" si="23"/>
        <v>198724</v>
      </c>
      <c r="F115" s="483">
        <f t="shared" si="24"/>
        <v>4967250</v>
      </c>
      <c r="G115" s="483">
        <f t="shared" si="25"/>
        <v>5066612</v>
      </c>
      <c r="H115" s="611">
        <f t="shared" si="26"/>
        <v>775267.93068673089</v>
      </c>
      <c r="I115" s="612">
        <f t="shared" si="27"/>
        <v>775267.93068673089</v>
      </c>
      <c r="J115" s="476">
        <f t="shared" si="18"/>
        <v>0</v>
      </c>
      <c r="K115" s="476"/>
      <c r="L115" s="485"/>
      <c r="M115" s="476">
        <f t="shared" si="22"/>
        <v>0</v>
      </c>
      <c r="N115" s="485"/>
      <c r="O115" s="476">
        <f t="shared" si="16"/>
        <v>0</v>
      </c>
      <c r="P115" s="476">
        <f t="shared" si="17"/>
        <v>0</v>
      </c>
    </row>
    <row r="116" spans="2:16">
      <c r="B116" s="160" t="str">
        <f t="shared" si="19"/>
        <v/>
      </c>
      <c r="C116" s="470">
        <f>IF(D93="","-",+C115+1)</f>
        <v>2036</v>
      </c>
      <c r="D116" s="345">
        <f>IF(F115+SUM(E$99:E115)=D$92,F115,D$92-SUM(E$99:E115))</f>
        <v>4967250</v>
      </c>
      <c r="E116" s="482">
        <f t="shared" si="23"/>
        <v>198724</v>
      </c>
      <c r="F116" s="483">
        <f t="shared" si="24"/>
        <v>4768526</v>
      </c>
      <c r="G116" s="483">
        <f t="shared" si="25"/>
        <v>4867888</v>
      </c>
      <c r="H116" s="611">
        <f t="shared" si="26"/>
        <v>752654.5716843463</v>
      </c>
      <c r="I116" s="612">
        <f t="shared" si="27"/>
        <v>752654.5716843463</v>
      </c>
      <c r="J116" s="476">
        <f t="shared" si="18"/>
        <v>0</v>
      </c>
      <c r="K116" s="476"/>
      <c r="L116" s="485"/>
      <c r="M116" s="476">
        <f t="shared" si="22"/>
        <v>0</v>
      </c>
      <c r="N116" s="485"/>
      <c r="O116" s="476">
        <f t="shared" si="16"/>
        <v>0</v>
      </c>
      <c r="P116" s="476">
        <f t="shared" si="17"/>
        <v>0</v>
      </c>
    </row>
    <row r="117" spans="2:16">
      <c r="B117" s="160" t="str">
        <f t="shared" si="19"/>
        <v/>
      </c>
      <c r="C117" s="470">
        <f>IF(D93="","-",+C116+1)</f>
        <v>2037</v>
      </c>
      <c r="D117" s="345">
        <f>IF(F116+SUM(E$99:E116)=D$92,F116,D$92-SUM(E$99:E116))</f>
        <v>4768526</v>
      </c>
      <c r="E117" s="482">
        <f t="shared" si="23"/>
        <v>198724</v>
      </c>
      <c r="F117" s="483">
        <f t="shared" si="24"/>
        <v>4569802</v>
      </c>
      <c r="G117" s="483">
        <f t="shared" si="25"/>
        <v>4669164</v>
      </c>
      <c r="H117" s="611">
        <f t="shared" si="26"/>
        <v>730041.21268196171</v>
      </c>
      <c r="I117" s="612">
        <f t="shared" si="27"/>
        <v>730041.21268196171</v>
      </c>
      <c r="J117" s="476">
        <f t="shared" si="18"/>
        <v>0</v>
      </c>
      <c r="K117" s="476"/>
      <c r="L117" s="485"/>
      <c r="M117" s="476">
        <f t="shared" si="22"/>
        <v>0</v>
      </c>
      <c r="N117" s="485"/>
      <c r="O117" s="476">
        <f t="shared" si="16"/>
        <v>0</v>
      </c>
      <c r="P117" s="476">
        <f t="shared" si="17"/>
        <v>0</v>
      </c>
    </row>
    <row r="118" spans="2:16">
      <c r="B118" s="160" t="str">
        <f t="shared" si="19"/>
        <v/>
      </c>
      <c r="C118" s="470">
        <f>IF(D93="","-",+C117+1)</f>
        <v>2038</v>
      </c>
      <c r="D118" s="345">
        <f>IF(F117+SUM(E$99:E117)=D$92,F117,D$92-SUM(E$99:E117))</f>
        <v>4569802</v>
      </c>
      <c r="E118" s="482">
        <f t="shared" si="23"/>
        <v>198724</v>
      </c>
      <c r="F118" s="483">
        <f t="shared" si="24"/>
        <v>4371078</v>
      </c>
      <c r="G118" s="483">
        <f t="shared" si="25"/>
        <v>4470440</v>
      </c>
      <c r="H118" s="611">
        <f t="shared" si="26"/>
        <v>707427.85367957712</v>
      </c>
      <c r="I118" s="612">
        <f t="shared" si="27"/>
        <v>707427.85367957712</v>
      </c>
      <c r="J118" s="476">
        <f t="shared" si="18"/>
        <v>0</v>
      </c>
      <c r="K118" s="476"/>
      <c r="L118" s="485"/>
      <c r="M118" s="476">
        <f t="shared" si="22"/>
        <v>0</v>
      </c>
      <c r="N118" s="485"/>
      <c r="O118" s="476">
        <f t="shared" si="16"/>
        <v>0</v>
      </c>
      <c r="P118" s="476">
        <f t="shared" si="17"/>
        <v>0</v>
      </c>
    </row>
    <row r="119" spans="2:16">
      <c r="B119" s="160" t="str">
        <f t="shared" si="19"/>
        <v/>
      </c>
      <c r="C119" s="470">
        <f>IF(D93="","-",+C118+1)</f>
        <v>2039</v>
      </c>
      <c r="D119" s="345">
        <f>IF(F118+SUM(E$99:E118)=D$92,F118,D$92-SUM(E$99:E118))</f>
        <v>4371078</v>
      </c>
      <c r="E119" s="482">
        <f t="shared" si="23"/>
        <v>198724</v>
      </c>
      <c r="F119" s="483">
        <f t="shared" si="24"/>
        <v>4172354</v>
      </c>
      <c r="G119" s="483">
        <f t="shared" si="25"/>
        <v>4271716</v>
      </c>
      <c r="H119" s="611">
        <f t="shared" si="26"/>
        <v>684814.49467719253</v>
      </c>
      <c r="I119" s="612">
        <f t="shared" si="27"/>
        <v>684814.49467719253</v>
      </c>
      <c r="J119" s="476">
        <f t="shared" si="18"/>
        <v>0</v>
      </c>
      <c r="K119" s="476"/>
      <c r="L119" s="485"/>
      <c r="M119" s="476">
        <f t="shared" si="22"/>
        <v>0</v>
      </c>
      <c r="N119" s="485"/>
      <c r="O119" s="476">
        <f t="shared" si="16"/>
        <v>0</v>
      </c>
      <c r="P119" s="476">
        <f t="shared" si="17"/>
        <v>0</v>
      </c>
    </row>
    <row r="120" spans="2:16">
      <c r="B120" s="160" t="str">
        <f t="shared" si="19"/>
        <v/>
      </c>
      <c r="C120" s="470">
        <f>IF(D93="","-",+C119+1)</f>
        <v>2040</v>
      </c>
      <c r="D120" s="345">
        <f>IF(F119+SUM(E$99:E119)=D$92,F119,D$92-SUM(E$99:E119))</f>
        <v>4172354</v>
      </c>
      <c r="E120" s="482">
        <f t="shared" si="23"/>
        <v>198724</v>
      </c>
      <c r="F120" s="483">
        <f t="shared" si="24"/>
        <v>3973630</v>
      </c>
      <c r="G120" s="483">
        <f t="shared" si="25"/>
        <v>4072992</v>
      </c>
      <c r="H120" s="611">
        <f t="shared" si="26"/>
        <v>662201.13567480783</v>
      </c>
      <c r="I120" s="612">
        <f t="shared" si="27"/>
        <v>662201.13567480783</v>
      </c>
      <c r="J120" s="476">
        <f t="shared" si="18"/>
        <v>0</v>
      </c>
      <c r="K120" s="476"/>
      <c r="L120" s="485"/>
      <c r="M120" s="476">
        <f t="shared" si="22"/>
        <v>0</v>
      </c>
      <c r="N120" s="485"/>
      <c r="O120" s="476">
        <f t="shared" si="16"/>
        <v>0</v>
      </c>
      <c r="P120" s="476">
        <f t="shared" si="17"/>
        <v>0</v>
      </c>
    </row>
    <row r="121" spans="2:16">
      <c r="B121" s="160" t="str">
        <f t="shared" si="19"/>
        <v/>
      </c>
      <c r="C121" s="470">
        <f>IF(D93="","-",+C120+1)</f>
        <v>2041</v>
      </c>
      <c r="D121" s="345">
        <f>IF(F120+SUM(E$99:E120)=D$92,F120,D$92-SUM(E$99:E120))</f>
        <v>3973630</v>
      </c>
      <c r="E121" s="482">
        <f t="shared" si="23"/>
        <v>198724</v>
      </c>
      <c r="F121" s="483">
        <f t="shared" si="24"/>
        <v>3774906</v>
      </c>
      <c r="G121" s="483">
        <f t="shared" si="25"/>
        <v>3874268</v>
      </c>
      <c r="H121" s="611">
        <f t="shared" si="26"/>
        <v>639587.77667242324</v>
      </c>
      <c r="I121" s="612">
        <f t="shared" si="27"/>
        <v>639587.77667242324</v>
      </c>
      <c r="J121" s="476">
        <f t="shared" si="18"/>
        <v>0</v>
      </c>
      <c r="K121" s="476"/>
      <c r="L121" s="485"/>
      <c r="M121" s="476">
        <f t="shared" si="22"/>
        <v>0</v>
      </c>
      <c r="N121" s="485"/>
      <c r="O121" s="476">
        <f t="shared" si="16"/>
        <v>0</v>
      </c>
      <c r="P121" s="476">
        <f t="shared" si="17"/>
        <v>0</v>
      </c>
    </row>
    <row r="122" spans="2:16">
      <c r="B122" s="160" t="str">
        <f t="shared" si="19"/>
        <v/>
      </c>
      <c r="C122" s="470">
        <f>IF(D93="","-",+C121+1)</f>
        <v>2042</v>
      </c>
      <c r="D122" s="345">
        <f>IF(F121+SUM(E$99:E121)=D$92,F121,D$92-SUM(E$99:E121))</f>
        <v>3774906</v>
      </c>
      <c r="E122" s="482">
        <f t="shared" si="23"/>
        <v>198724</v>
      </c>
      <c r="F122" s="483">
        <f t="shared" si="24"/>
        <v>3576182</v>
      </c>
      <c r="G122" s="483">
        <f t="shared" si="25"/>
        <v>3675544</v>
      </c>
      <c r="H122" s="611">
        <f t="shared" si="26"/>
        <v>616974.41767003853</v>
      </c>
      <c r="I122" s="612">
        <f t="shared" si="27"/>
        <v>616974.41767003853</v>
      </c>
      <c r="J122" s="476">
        <f t="shared" si="18"/>
        <v>0</v>
      </c>
      <c r="K122" s="476"/>
      <c r="L122" s="485"/>
      <c r="M122" s="476">
        <f t="shared" si="22"/>
        <v>0</v>
      </c>
      <c r="N122" s="485"/>
      <c r="O122" s="476">
        <f t="shared" si="16"/>
        <v>0</v>
      </c>
      <c r="P122" s="476">
        <f t="shared" si="17"/>
        <v>0</v>
      </c>
    </row>
    <row r="123" spans="2:16">
      <c r="B123" s="160" t="str">
        <f t="shared" si="19"/>
        <v/>
      </c>
      <c r="C123" s="470">
        <f>IF(D93="","-",+C122+1)</f>
        <v>2043</v>
      </c>
      <c r="D123" s="345">
        <f>IF(F122+SUM(E$99:E122)=D$92,F122,D$92-SUM(E$99:E122))</f>
        <v>3576182</v>
      </c>
      <c r="E123" s="482">
        <f t="shared" si="23"/>
        <v>198724</v>
      </c>
      <c r="F123" s="483">
        <f t="shared" si="24"/>
        <v>3377458</v>
      </c>
      <c r="G123" s="483">
        <f t="shared" si="25"/>
        <v>3476820</v>
      </c>
      <c r="H123" s="611">
        <f t="shared" si="26"/>
        <v>594361.05866765394</v>
      </c>
      <c r="I123" s="612">
        <f t="shared" si="27"/>
        <v>594361.05866765394</v>
      </c>
      <c r="J123" s="476">
        <f t="shared" si="18"/>
        <v>0</v>
      </c>
      <c r="K123" s="476"/>
      <c r="L123" s="485"/>
      <c r="M123" s="476">
        <f t="shared" si="22"/>
        <v>0</v>
      </c>
      <c r="N123" s="485"/>
      <c r="O123" s="476">
        <f t="shared" si="16"/>
        <v>0</v>
      </c>
      <c r="P123" s="476">
        <f t="shared" si="17"/>
        <v>0</v>
      </c>
    </row>
    <row r="124" spans="2:16">
      <c r="B124" s="160" t="str">
        <f t="shared" si="19"/>
        <v/>
      </c>
      <c r="C124" s="470">
        <f>IF(D93="","-",+C123+1)</f>
        <v>2044</v>
      </c>
      <c r="D124" s="345">
        <f>IF(F123+SUM(E$99:E123)=D$92,F123,D$92-SUM(E$99:E123))</f>
        <v>3377458</v>
      </c>
      <c r="E124" s="482">
        <f t="shared" si="23"/>
        <v>198724</v>
      </c>
      <c r="F124" s="483">
        <f t="shared" si="24"/>
        <v>3178734</v>
      </c>
      <c r="G124" s="483">
        <f t="shared" si="25"/>
        <v>3278096</v>
      </c>
      <c r="H124" s="611">
        <f t="shared" si="26"/>
        <v>571747.69966526935</v>
      </c>
      <c r="I124" s="612">
        <f t="shared" si="27"/>
        <v>571747.69966526935</v>
      </c>
      <c r="J124" s="476">
        <f t="shared" si="18"/>
        <v>0</v>
      </c>
      <c r="K124" s="476"/>
      <c r="L124" s="485"/>
      <c r="M124" s="476">
        <f t="shared" si="22"/>
        <v>0</v>
      </c>
      <c r="N124" s="485"/>
      <c r="O124" s="476">
        <f t="shared" si="16"/>
        <v>0</v>
      </c>
      <c r="P124" s="476">
        <f t="shared" si="17"/>
        <v>0</v>
      </c>
    </row>
    <row r="125" spans="2:16">
      <c r="B125" s="160" t="str">
        <f t="shared" si="19"/>
        <v/>
      </c>
      <c r="C125" s="470">
        <f>IF(D93="","-",+C124+1)</f>
        <v>2045</v>
      </c>
      <c r="D125" s="345">
        <f>IF(F124+SUM(E$99:E124)=D$92,F124,D$92-SUM(E$99:E124))</f>
        <v>3178734</v>
      </c>
      <c r="E125" s="482">
        <f t="shared" si="23"/>
        <v>198724</v>
      </c>
      <c r="F125" s="483">
        <f t="shared" si="24"/>
        <v>2980010</v>
      </c>
      <c r="G125" s="483">
        <f t="shared" si="25"/>
        <v>3079372</v>
      </c>
      <c r="H125" s="611">
        <f t="shared" si="26"/>
        <v>549134.34066288476</v>
      </c>
      <c r="I125" s="612">
        <f t="shared" si="27"/>
        <v>549134.34066288476</v>
      </c>
      <c r="J125" s="476">
        <f t="shared" si="18"/>
        <v>0</v>
      </c>
      <c r="K125" s="476"/>
      <c r="L125" s="485"/>
      <c r="M125" s="476">
        <f t="shared" si="22"/>
        <v>0</v>
      </c>
      <c r="N125" s="485"/>
      <c r="O125" s="476">
        <f t="shared" si="16"/>
        <v>0</v>
      </c>
      <c r="P125" s="476">
        <f t="shared" si="17"/>
        <v>0</v>
      </c>
    </row>
    <row r="126" spans="2:16">
      <c r="B126" s="160" t="str">
        <f t="shared" si="19"/>
        <v/>
      </c>
      <c r="C126" s="470">
        <f>IF(D93="","-",+C125+1)</f>
        <v>2046</v>
      </c>
      <c r="D126" s="345">
        <f>IF(F125+SUM(E$99:E125)=D$92,F125,D$92-SUM(E$99:E125))</f>
        <v>2980010</v>
      </c>
      <c r="E126" s="482">
        <f t="shared" si="23"/>
        <v>198724</v>
      </c>
      <c r="F126" s="483">
        <f t="shared" si="24"/>
        <v>2781286</v>
      </c>
      <c r="G126" s="483">
        <f t="shared" si="25"/>
        <v>2880648</v>
      </c>
      <c r="H126" s="611">
        <f t="shared" si="26"/>
        <v>526520.98166050017</v>
      </c>
      <c r="I126" s="612">
        <f t="shared" si="27"/>
        <v>526520.98166050017</v>
      </c>
      <c r="J126" s="476">
        <f t="shared" si="18"/>
        <v>0</v>
      </c>
      <c r="K126" s="476"/>
      <c r="L126" s="485"/>
      <c r="M126" s="476">
        <f t="shared" si="22"/>
        <v>0</v>
      </c>
      <c r="N126" s="485"/>
      <c r="O126" s="476">
        <f t="shared" si="16"/>
        <v>0</v>
      </c>
      <c r="P126" s="476">
        <f t="shared" si="17"/>
        <v>0</v>
      </c>
    </row>
    <row r="127" spans="2:16">
      <c r="B127" s="160" t="str">
        <f t="shared" si="19"/>
        <v/>
      </c>
      <c r="C127" s="470">
        <f>IF(D93="","-",+C126+1)</f>
        <v>2047</v>
      </c>
      <c r="D127" s="345">
        <f>IF(F126+SUM(E$99:E126)=D$92,F126,D$92-SUM(E$99:E126))</f>
        <v>2781286</v>
      </c>
      <c r="E127" s="482">
        <f t="shared" si="23"/>
        <v>198724</v>
      </c>
      <c r="F127" s="483">
        <f t="shared" si="24"/>
        <v>2582562</v>
      </c>
      <c r="G127" s="483">
        <f t="shared" si="25"/>
        <v>2681924</v>
      </c>
      <c r="H127" s="611">
        <f t="shared" si="26"/>
        <v>503907.62265811552</v>
      </c>
      <c r="I127" s="612">
        <f t="shared" si="27"/>
        <v>503907.62265811552</v>
      </c>
      <c r="J127" s="476">
        <f t="shared" si="18"/>
        <v>0</v>
      </c>
      <c r="K127" s="476"/>
      <c r="L127" s="485"/>
      <c r="M127" s="476">
        <f t="shared" si="22"/>
        <v>0</v>
      </c>
      <c r="N127" s="485"/>
      <c r="O127" s="476">
        <f t="shared" si="16"/>
        <v>0</v>
      </c>
      <c r="P127" s="476">
        <f t="shared" si="17"/>
        <v>0</v>
      </c>
    </row>
    <row r="128" spans="2:16">
      <c r="B128" s="160" t="str">
        <f t="shared" si="19"/>
        <v/>
      </c>
      <c r="C128" s="470">
        <f>IF(D93="","-",+C127+1)</f>
        <v>2048</v>
      </c>
      <c r="D128" s="345">
        <f>IF(F127+SUM(E$99:E127)=D$92,F127,D$92-SUM(E$99:E127))</f>
        <v>2582562</v>
      </c>
      <c r="E128" s="482">
        <f t="shared" si="23"/>
        <v>198724</v>
      </c>
      <c r="F128" s="483">
        <f t="shared" si="24"/>
        <v>2383838</v>
      </c>
      <c r="G128" s="483">
        <f t="shared" si="25"/>
        <v>2483200</v>
      </c>
      <c r="H128" s="611">
        <f t="shared" si="26"/>
        <v>481294.26365573093</v>
      </c>
      <c r="I128" s="612">
        <f t="shared" si="27"/>
        <v>481294.26365573093</v>
      </c>
      <c r="J128" s="476">
        <f t="shared" si="18"/>
        <v>0</v>
      </c>
      <c r="K128" s="476"/>
      <c r="L128" s="485"/>
      <c r="M128" s="476">
        <f t="shared" si="22"/>
        <v>0</v>
      </c>
      <c r="N128" s="485"/>
      <c r="O128" s="476">
        <f t="shared" si="16"/>
        <v>0</v>
      </c>
      <c r="P128" s="476">
        <f t="shared" si="17"/>
        <v>0</v>
      </c>
    </row>
    <row r="129" spans="2:16">
      <c r="B129" s="160" t="str">
        <f t="shared" si="19"/>
        <v/>
      </c>
      <c r="C129" s="470">
        <f>IF(D93="","-",+C128+1)</f>
        <v>2049</v>
      </c>
      <c r="D129" s="345">
        <f>IF(F128+SUM(E$99:E128)=D$92,F128,D$92-SUM(E$99:E128))</f>
        <v>2383838</v>
      </c>
      <c r="E129" s="482">
        <f t="shared" si="23"/>
        <v>198724</v>
      </c>
      <c r="F129" s="483">
        <f t="shared" si="24"/>
        <v>2185114</v>
      </c>
      <c r="G129" s="483">
        <f t="shared" si="25"/>
        <v>2284476</v>
      </c>
      <c r="H129" s="611">
        <f t="shared" si="26"/>
        <v>458680.90465334628</v>
      </c>
      <c r="I129" s="612">
        <f t="shared" si="27"/>
        <v>458680.90465334628</v>
      </c>
      <c r="J129" s="476">
        <f t="shared" si="18"/>
        <v>0</v>
      </c>
      <c r="K129" s="476"/>
      <c r="L129" s="485"/>
      <c r="M129" s="476">
        <f t="shared" si="22"/>
        <v>0</v>
      </c>
      <c r="N129" s="485"/>
      <c r="O129" s="476">
        <f t="shared" si="16"/>
        <v>0</v>
      </c>
      <c r="P129" s="476">
        <f t="shared" si="17"/>
        <v>0</v>
      </c>
    </row>
    <row r="130" spans="2:16">
      <c r="B130" s="160" t="str">
        <f t="shared" si="19"/>
        <v/>
      </c>
      <c r="C130" s="470">
        <f>IF(D93="","-",+C129+1)</f>
        <v>2050</v>
      </c>
      <c r="D130" s="345">
        <f>IF(F129+SUM(E$99:E129)=D$92,F129,D$92-SUM(E$99:E129))</f>
        <v>2185114</v>
      </c>
      <c r="E130" s="482">
        <f t="shared" si="23"/>
        <v>198724</v>
      </c>
      <c r="F130" s="483">
        <f t="shared" si="24"/>
        <v>1986390</v>
      </c>
      <c r="G130" s="483">
        <f t="shared" si="25"/>
        <v>2085752</v>
      </c>
      <c r="H130" s="611">
        <f t="shared" si="26"/>
        <v>436067.54565096169</v>
      </c>
      <c r="I130" s="612">
        <f t="shared" si="27"/>
        <v>436067.54565096169</v>
      </c>
      <c r="J130" s="476">
        <f t="shared" si="18"/>
        <v>0</v>
      </c>
      <c r="K130" s="476"/>
      <c r="L130" s="485"/>
      <c r="M130" s="476">
        <f t="shared" si="22"/>
        <v>0</v>
      </c>
      <c r="N130" s="485"/>
      <c r="O130" s="476">
        <f t="shared" si="16"/>
        <v>0</v>
      </c>
      <c r="P130" s="476">
        <f t="shared" si="17"/>
        <v>0</v>
      </c>
    </row>
    <row r="131" spans="2:16">
      <c r="B131" s="160" t="str">
        <f t="shared" si="19"/>
        <v/>
      </c>
      <c r="C131" s="470">
        <f>IF(D93="","-",+C130+1)</f>
        <v>2051</v>
      </c>
      <c r="D131" s="345">
        <f>IF(F130+SUM(E$99:E130)=D$92,F130,D$92-SUM(E$99:E130))</f>
        <v>1986390</v>
      </c>
      <c r="E131" s="482">
        <f t="shared" si="23"/>
        <v>198724</v>
      </c>
      <c r="F131" s="483">
        <f t="shared" si="24"/>
        <v>1787666</v>
      </c>
      <c r="G131" s="483">
        <f t="shared" si="25"/>
        <v>1887028</v>
      </c>
      <c r="H131" s="611">
        <f t="shared" si="26"/>
        <v>413454.1866485771</v>
      </c>
      <c r="I131" s="612">
        <f t="shared" si="27"/>
        <v>413454.1866485771</v>
      </c>
      <c r="J131" s="476">
        <f t="shared" ref="J131:J154" si="28">+I541-H541</f>
        <v>0</v>
      </c>
      <c r="K131" s="476"/>
      <c r="L131" s="485"/>
      <c r="M131" s="476">
        <f t="shared" ref="M131:M154" si="29">IF(L541&lt;&gt;0,+H541-L541,0)</f>
        <v>0</v>
      </c>
      <c r="N131" s="485"/>
      <c r="O131" s="476">
        <f t="shared" ref="O131:O154" si="30">IF(N541&lt;&gt;0,+I541-N541,0)</f>
        <v>0</v>
      </c>
      <c r="P131" s="476">
        <f t="shared" ref="P131:P154" si="31">+O541-M541</f>
        <v>0</v>
      </c>
    </row>
    <row r="132" spans="2:16">
      <c r="B132" s="160" t="str">
        <f t="shared" si="19"/>
        <v/>
      </c>
      <c r="C132" s="470">
        <f>IF(D93="","-",+C131+1)</f>
        <v>2052</v>
      </c>
      <c r="D132" s="345">
        <f>IF(F131+SUM(E$99:E131)=D$92,F131,D$92-SUM(E$99:E131))</f>
        <v>1787666</v>
      </c>
      <c r="E132" s="482">
        <f t="shared" si="23"/>
        <v>198724</v>
      </c>
      <c r="F132" s="483">
        <f t="shared" si="24"/>
        <v>1588942</v>
      </c>
      <c r="G132" s="483">
        <f t="shared" si="25"/>
        <v>1688304</v>
      </c>
      <c r="H132" s="611">
        <f t="shared" si="26"/>
        <v>390840.82764619251</v>
      </c>
      <c r="I132" s="612">
        <f t="shared" si="27"/>
        <v>390840.82764619251</v>
      </c>
      <c r="J132" s="476">
        <f t="shared" si="28"/>
        <v>0</v>
      </c>
      <c r="K132" s="476"/>
      <c r="L132" s="485"/>
      <c r="M132" s="476">
        <f t="shared" si="29"/>
        <v>0</v>
      </c>
      <c r="N132" s="485"/>
      <c r="O132" s="476">
        <f t="shared" si="30"/>
        <v>0</v>
      </c>
      <c r="P132" s="476">
        <f t="shared" si="31"/>
        <v>0</v>
      </c>
    </row>
    <row r="133" spans="2:16">
      <c r="B133" s="160" t="str">
        <f t="shared" si="19"/>
        <v/>
      </c>
      <c r="C133" s="470">
        <f>IF(D93="","-",+C132+1)</f>
        <v>2053</v>
      </c>
      <c r="D133" s="345">
        <f>IF(F132+SUM(E$99:E132)=D$92,F132,D$92-SUM(E$99:E132))</f>
        <v>1588942</v>
      </c>
      <c r="E133" s="482">
        <f t="shared" si="23"/>
        <v>198724</v>
      </c>
      <c r="F133" s="483">
        <f t="shared" si="24"/>
        <v>1390218</v>
      </c>
      <c r="G133" s="483">
        <f t="shared" si="25"/>
        <v>1489580</v>
      </c>
      <c r="H133" s="611">
        <f t="shared" si="26"/>
        <v>368227.46864380786</v>
      </c>
      <c r="I133" s="612">
        <f t="shared" si="27"/>
        <v>368227.46864380786</v>
      </c>
      <c r="J133" s="476">
        <f t="shared" si="28"/>
        <v>0</v>
      </c>
      <c r="K133" s="476"/>
      <c r="L133" s="485"/>
      <c r="M133" s="476">
        <f t="shared" si="29"/>
        <v>0</v>
      </c>
      <c r="N133" s="485"/>
      <c r="O133" s="476">
        <f t="shared" si="30"/>
        <v>0</v>
      </c>
      <c r="P133" s="476">
        <f t="shared" si="31"/>
        <v>0</v>
      </c>
    </row>
    <row r="134" spans="2:16">
      <c r="B134" s="160" t="str">
        <f t="shared" si="19"/>
        <v/>
      </c>
      <c r="C134" s="470">
        <f>IF(D93="","-",+C133+1)</f>
        <v>2054</v>
      </c>
      <c r="D134" s="345">
        <f>IF(F133+SUM(E$99:E133)=D$92,F133,D$92-SUM(E$99:E133))</f>
        <v>1390218</v>
      </c>
      <c r="E134" s="482">
        <f t="shared" si="23"/>
        <v>198724</v>
      </c>
      <c r="F134" s="483">
        <f t="shared" si="24"/>
        <v>1191494</v>
      </c>
      <c r="G134" s="483">
        <f t="shared" si="25"/>
        <v>1290856</v>
      </c>
      <c r="H134" s="611">
        <f t="shared" si="26"/>
        <v>345614.10964142322</v>
      </c>
      <c r="I134" s="612">
        <f t="shared" si="27"/>
        <v>345614.10964142322</v>
      </c>
      <c r="J134" s="476">
        <f t="shared" si="28"/>
        <v>0</v>
      </c>
      <c r="K134" s="476"/>
      <c r="L134" s="485"/>
      <c r="M134" s="476">
        <f t="shared" si="29"/>
        <v>0</v>
      </c>
      <c r="N134" s="485"/>
      <c r="O134" s="476">
        <f t="shared" si="30"/>
        <v>0</v>
      </c>
      <c r="P134" s="476">
        <f t="shared" si="31"/>
        <v>0</v>
      </c>
    </row>
    <row r="135" spans="2:16">
      <c r="B135" s="160" t="str">
        <f t="shared" si="19"/>
        <v/>
      </c>
      <c r="C135" s="470">
        <f>IF(D93="","-",+C134+1)</f>
        <v>2055</v>
      </c>
      <c r="D135" s="345">
        <f>IF(F134+SUM(E$99:E134)=D$92,F134,D$92-SUM(E$99:E134))</f>
        <v>1191494</v>
      </c>
      <c r="E135" s="482">
        <f t="shared" si="23"/>
        <v>198724</v>
      </c>
      <c r="F135" s="483">
        <f t="shared" si="24"/>
        <v>992770</v>
      </c>
      <c r="G135" s="483">
        <f t="shared" si="25"/>
        <v>1092132</v>
      </c>
      <c r="H135" s="611">
        <f t="shared" si="26"/>
        <v>323000.75063903863</v>
      </c>
      <c r="I135" s="612">
        <f t="shared" si="27"/>
        <v>323000.75063903863</v>
      </c>
      <c r="J135" s="476">
        <f t="shared" si="28"/>
        <v>0</v>
      </c>
      <c r="K135" s="476"/>
      <c r="L135" s="485"/>
      <c r="M135" s="476">
        <f t="shared" si="29"/>
        <v>0</v>
      </c>
      <c r="N135" s="485"/>
      <c r="O135" s="476">
        <f t="shared" si="30"/>
        <v>0</v>
      </c>
      <c r="P135" s="476">
        <f t="shared" si="31"/>
        <v>0</v>
      </c>
    </row>
    <row r="136" spans="2:16">
      <c r="B136" s="160" t="str">
        <f t="shared" si="19"/>
        <v/>
      </c>
      <c r="C136" s="470">
        <f>IF(D93="","-",+C135+1)</f>
        <v>2056</v>
      </c>
      <c r="D136" s="345">
        <f>IF(F135+SUM(E$99:E135)=D$92,F135,D$92-SUM(E$99:E135))</f>
        <v>992770</v>
      </c>
      <c r="E136" s="482">
        <f t="shared" si="23"/>
        <v>198724</v>
      </c>
      <c r="F136" s="483">
        <f t="shared" si="24"/>
        <v>794046</v>
      </c>
      <c r="G136" s="483">
        <f t="shared" si="25"/>
        <v>893408</v>
      </c>
      <c r="H136" s="611">
        <f t="shared" si="26"/>
        <v>300387.39163665404</v>
      </c>
      <c r="I136" s="612">
        <f t="shared" si="27"/>
        <v>300387.39163665404</v>
      </c>
      <c r="J136" s="476">
        <f t="shared" si="28"/>
        <v>0</v>
      </c>
      <c r="K136" s="476"/>
      <c r="L136" s="485"/>
      <c r="M136" s="476">
        <f t="shared" si="29"/>
        <v>0</v>
      </c>
      <c r="N136" s="485"/>
      <c r="O136" s="476">
        <f t="shared" si="30"/>
        <v>0</v>
      </c>
      <c r="P136" s="476">
        <f t="shared" si="31"/>
        <v>0</v>
      </c>
    </row>
    <row r="137" spans="2:16">
      <c r="B137" s="160" t="str">
        <f t="shared" si="19"/>
        <v/>
      </c>
      <c r="C137" s="470">
        <f>IF(D93="","-",+C136+1)</f>
        <v>2057</v>
      </c>
      <c r="D137" s="345">
        <f>IF(F136+SUM(E$99:E136)=D$92,F136,D$92-SUM(E$99:E136))</f>
        <v>794046</v>
      </c>
      <c r="E137" s="482">
        <f t="shared" si="23"/>
        <v>198724</v>
      </c>
      <c r="F137" s="483">
        <f t="shared" si="24"/>
        <v>595322</v>
      </c>
      <c r="G137" s="483">
        <f t="shared" si="25"/>
        <v>694684</v>
      </c>
      <c r="H137" s="611">
        <f t="shared" si="26"/>
        <v>277774.03263426939</v>
      </c>
      <c r="I137" s="612">
        <f t="shared" si="27"/>
        <v>277774.03263426939</v>
      </c>
      <c r="J137" s="476">
        <f t="shared" si="28"/>
        <v>0</v>
      </c>
      <c r="K137" s="476"/>
      <c r="L137" s="485"/>
      <c r="M137" s="476">
        <f t="shared" si="29"/>
        <v>0</v>
      </c>
      <c r="N137" s="485"/>
      <c r="O137" s="476">
        <f t="shared" si="30"/>
        <v>0</v>
      </c>
      <c r="P137" s="476">
        <f t="shared" si="31"/>
        <v>0</v>
      </c>
    </row>
    <row r="138" spans="2:16">
      <c r="B138" s="160" t="str">
        <f t="shared" si="19"/>
        <v/>
      </c>
      <c r="C138" s="470">
        <f>IF(D93="","-",+C137+1)</f>
        <v>2058</v>
      </c>
      <c r="D138" s="345">
        <f>IF(F137+SUM(E$99:E137)=D$92,F137,D$92-SUM(E$99:E137))</f>
        <v>595322</v>
      </c>
      <c r="E138" s="482">
        <f t="shared" si="23"/>
        <v>198724</v>
      </c>
      <c r="F138" s="483">
        <f t="shared" si="24"/>
        <v>396598</v>
      </c>
      <c r="G138" s="483">
        <f t="shared" si="25"/>
        <v>495960</v>
      </c>
      <c r="H138" s="611">
        <f t="shared" si="26"/>
        <v>255160.6736318848</v>
      </c>
      <c r="I138" s="612">
        <f t="shared" si="27"/>
        <v>255160.6736318848</v>
      </c>
      <c r="J138" s="476">
        <f t="shared" si="28"/>
        <v>0</v>
      </c>
      <c r="K138" s="476"/>
      <c r="L138" s="485"/>
      <c r="M138" s="476">
        <f t="shared" si="29"/>
        <v>0</v>
      </c>
      <c r="N138" s="485"/>
      <c r="O138" s="476">
        <f t="shared" si="30"/>
        <v>0</v>
      </c>
      <c r="P138" s="476">
        <f t="shared" si="31"/>
        <v>0</v>
      </c>
    </row>
    <row r="139" spans="2:16">
      <c r="B139" s="160" t="str">
        <f t="shared" si="19"/>
        <v/>
      </c>
      <c r="C139" s="470">
        <f>IF(D93="","-",+C138+1)</f>
        <v>2059</v>
      </c>
      <c r="D139" s="345">
        <f>IF(F138+SUM(E$99:E138)=D$92,F138,D$92-SUM(E$99:E138))</f>
        <v>396598</v>
      </c>
      <c r="E139" s="482">
        <f t="shared" si="23"/>
        <v>198724</v>
      </c>
      <c r="F139" s="483">
        <f t="shared" si="24"/>
        <v>197874</v>
      </c>
      <c r="G139" s="483">
        <f t="shared" si="25"/>
        <v>297236</v>
      </c>
      <c r="H139" s="611">
        <f t="shared" si="26"/>
        <v>232547.31462950018</v>
      </c>
      <c r="I139" s="612">
        <f t="shared" si="27"/>
        <v>232547.31462950018</v>
      </c>
      <c r="J139" s="476">
        <f t="shared" si="28"/>
        <v>0</v>
      </c>
      <c r="K139" s="476"/>
      <c r="L139" s="485"/>
      <c r="M139" s="476">
        <f t="shared" si="29"/>
        <v>0</v>
      </c>
      <c r="N139" s="485"/>
      <c r="O139" s="476">
        <f t="shared" si="30"/>
        <v>0</v>
      </c>
      <c r="P139" s="476">
        <f t="shared" si="31"/>
        <v>0</v>
      </c>
    </row>
    <row r="140" spans="2:16">
      <c r="B140" s="160" t="str">
        <f t="shared" si="19"/>
        <v/>
      </c>
      <c r="C140" s="470">
        <f>IF(D93="","-",+C139+1)</f>
        <v>2060</v>
      </c>
      <c r="D140" s="345">
        <f>IF(F139+SUM(E$99:E139)=D$92,F139,D$92-SUM(E$99:E139))</f>
        <v>197874</v>
      </c>
      <c r="E140" s="482">
        <f t="shared" si="23"/>
        <v>197874</v>
      </c>
      <c r="F140" s="483">
        <f t="shared" si="24"/>
        <v>0</v>
      </c>
      <c r="G140" s="483">
        <f t="shared" si="25"/>
        <v>98937</v>
      </c>
      <c r="H140" s="611">
        <f t="shared" si="26"/>
        <v>209132.31756415393</v>
      </c>
      <c r="I140" s="612">
        <f t="shared" si="27"/>
        <v>209132.31756415393</v>
      </c>
      <c r="J140" s="476">
        <f t="shared" si="28"/>
        <v>0</v>
      </c>
      <c r="K140" s="476"/>
      <c r="L140" s="485"/>
      <c r="M140" s="476">
        <f t="shared" si="29"/>
        <v>0</v>
      </c>
      <c r="N140" s="485"/>
      <c r="O140" s="476">
        <f t="shared" si="30"/>
        <v>0</v>
      </c>
      <c r="P140" s="476">
        <f t="shared" si="31"/>
        <v>0</v>
      </c>
    </row>
    <row r="141" spans="2:16">
      <c r="B141" s="160" t="str">
        <f t="shared" si="19"/>
        <v/>
      </c>
      <c r="C141" s="470">
        <f>IF(D93="","-",+C140+1)</f>
        <v>2061</v>
      </c>
      <c r="D141" s="345">
        <f>IF(F140+SUM(E$99:E140)=D$92,F140,D$92-SUM(E$99:E140))</f>
        <v>0</v>
      </c>
      <c r="E141" s="482">
        <f t="shared" si="23"/>
        <v>0</v>
      </c>
      <c r="F141" s="483">
        <f t="shared" si="24"/>
        <v>0</v>
      </c>
      <c r="G141" s="483">
        <f t="shared" si="25"/>
        <v>0</v>
      </c>
      <c r="H141" s="611">
        <f t="shared" si="26"/>
        <v>0</v>
      </c>
      <c r="I141" s="612">
        <f t="shared" si="27"/>
        <v>0</v>
      </c>
      <c r="J141" s="476">
        <f t="shared" si="28"/>
        <v>0</v>
      </c>
      <c r="K141" s="476"/>
      <c r="L141" s="485"/>
      <c r="M141" s="476">
        <f t="shared" si="29"/>
        <v>0</v>
      </c>
      <c r="N141" s="485"/>
      <c r="O141" s="476">
        <f t="shared" si="30"/>
        <v>0</v>
      </c>
      <c r="P141" s="476">
        <f t="shared" si="31"/>
        <v>0</v>
      </c>
    </row>
    <row r="142" spans="2:16">
      <c r="B142" s="160" t="str">
        <f t="shared" si="19"/>
        <v/>
      </c>
      <c r="C142" s="470">
        <f>IF(D93="","-",+C141+1)</f>
        <v>2062</v>
      </c>
      <c r="D142" s="345">
        <f>IF(F141+SUM(E$99:E141)=D$92,F141,D$92-SUM(E$99:E141))</f>
        <v>0</v>
      </c>
      <c r="E142" s="482">
        <f t="shared" si="23"/>
        <v>0</v>
      </c>
      <c r="F142" s="483">
        <f t="shared" si="24"/>
        <v>0</v>
      </c>
      <c r="G142" s="483">
        <f t="shared" si="25"/>
        <v>0</v>
      </c>
      <c r="H142" s="611">
        <f t="shared" si="26"/>
        <v>0</v>
      </c>
      <c r="I142" s="612">
        <f t="shared" si="27"/>
        <v>0</v>
      </c>
      <c r="J142" s="476">
        <f t="shared" si="28"/>
        <v>0</v>
      </c>
      <c r="K142" s="476"/>
      <c r="L142" s="485"/>
      <c r="M142" s="476">
        <f t="shared" si="29"/>
        <v>0</v>
      </c>
      <c r="N142" s="485"/>
      <c r="O142" s="476">
        <f t="shared" si="30"/>
        <v>0</v>
      </c>
      <c r="P142" s="476">
        <f t="shared" si="31"/>
        <v>0</v>
      </c>
    </row>
    <row r="143" spans="2:16">
      <c r="B143" s="160" t="str">
        <f t="shared" si="19"/>
        <v/>
      </c>
      <c r="C143" s="470">
        <f>IF(D93="","-",+C142+1)</f>
        <v>2063</v>
      </c>
      <c r="D143" s="345">
        <f>IF(F142+SUM(E$99:E142)=D$92,F142,D$92-SUM(E$99:E142))</f>
        <v>0</v>
      </c>
      <c r="E143" s="482">
        <f t="shared" si="23"/>
        <v>0</v>
      </c>
      <c r="F143" s="483">
        <f t="shared" si="24"/>
        <v>0</v>
      </c>
      <c r="G143" s="483">
        <f t="shared" si="25"/>
        <v>0</v>
      </c>
      <c r="H143" s="611">
        <f t="shared" si="26"/>
        <v>0</v>
      </c>
      <c r="I143" s="612">
        <f t="shared" si="27"/>
        <v>0</v>
      </c>
      <c r="J143" s="476">
        <f t="shared" si="28"/>
        <v>0</v>
      </c>
      <c r="K143" s="476"/>
      <c r="L143" s="485"/>
      <c r="M143" s="476">
        <f t="shared" si="29"/>
        <v>0</v>
      </c>
      <c r="N143" s="485"/>
      <c r="O143" s="476">
        <f t="shared" si="30"/>
        <v>0</v>
      </c>
      <c r="P143" s="476">
        <f t="shared" si="31"/>
        <v>0</v>
      </c>
    </row>
    <row r="144" spans="2:16">
      <c r="B144" s="160" t="str">
        <f t="shared" si="19"/>
        <v/>
      </c>
      <c r="C144" s="470">
        <f>IF(D93="","-",+C143+1)</f>
        <v>2064</v>
      </c>
      <c r="D144" s="345">
        <f>IF(F143+SUM(E$99:E143)=D$92,F143,D$92-SUM(E$99:E143))</f>
        <v>0</v>
      </c>
      <c r="E144" s="482">
        <f t="shared" si="23"/>
        <v>0</v>
      </c>
      <c r="F144" s="483">
        <f t="shared" si="24"/>
        <v>0</v>
      </c>
      <c r="G144" s="483">
        <f t="shared" si="25"/>
        <v>0</v>
      </c>
      <c r="H144" s="611">
        <f t="shared" si="26"/>
        <v>0</v>
      </c>
      <c r="I144" s="612">
        <f t="shared" si="27"/>
        <v>0</v>
      </c>
      <c r="J144" s="476">
        <f t="shared" si="28"/>
        <v>0</v>
      </c>
      <c r="K144" s="476"/>
      <c r="L144" s="485"/>
      <c r="M144" s="476">
        <f t="shared" si="29"/>
        <v>0</v>
      </c>
      <c r="N144" s="485"/>
      <c r="O144" s="476">
        <f t="shared" si="30"/>
        <v>0</v>
      </c>
      <c r="P144" s="476">
        <f t="shared" si="31"/>
        <v>0</v>
      </c>
    </row>
    <row r="145" spans="2:16">
      <c r="B145" s="160" t="str">
        <f t="shared" si="19"/>
        <v/>
      </c>
      <c r="C145" s="470">
        <f>IF(D93="","-",+C144+1)</f>
        <v>2065</v>
      </c>
      <c r="D145" s="345">
        <f>IF(F144+SUM(E$99:E144)=D$92,F144,D$92-SUM(E$99:E144))</f>
        <v>0</v>
      </c>
      <c r="E145" s="482">
        <f t="shared" si="23"/>
        <v>0</v>
      </c>
      <c r="F145" s="483">
        <f t="shared" si="24"/>
        <v>0</v>
      </c>
      <c r="G145" s="483">
        <f t="shared" si="25"/>
        <v>0</v>
      </c>
      <c r="H145" s="611">
        <f t="shared" si="26"/>
        <v>0</v>
      </c>
      <c r="I145" s="612">
        <f t="shared" si="27"/>
        <v>0</v>
      </c>
      <c r="J145" s="476">
        <f t="shared" si="28"/>
        <v>0</v>
      </c>
      <c r="K145" s="476"/>
      <c r="L145" s="485"/>
      <c r="M145" s="476">
        <f t="shared" si="29"/>
        <v>0</v>
      </c>
      <c r="N145" s="485"/>
      <c r="O145" s="476">
        <f t="shared" si="30"/>
        <v>0</v>
      </c>
      <c r="P145" s="476">
        <f t="shared" si="31"/>
        <v>0</v>
      </c>
    </row>
    <row r="146" spans="2:16">
      <c r="B146" s="160" t="str">
        <f t="shared" si="19"/>
        <v/>
      </c>
      <c r="C146" s="470">
        <f>IF(D93="","-",+C145+1)</f>
        <v>2066</v>
      </c>
      <c r="D146" s="345">
        <f>IF(F145+SUM(E$99:E145)=D$92,F145,D$92-SUM(E$99:E145))</f>
        <v>0</v>
      </c>
      <c r="E146" s="482">
        <f t="shared" si="23"/>
        <v>0</v>
      </c>
      <c r="F146" s="483">
        <f t="shared" si="24"/>
        <v>0</v>
      </c>
      <c r="G146" s="483">
        <f t="shared" si="25"/>
        <v>0</v>
      </c>
      <c r="H146" s="611">
        <f t="shared" si="26"/>
        <v>0</v>
      </c>
      <c r="I146" s="612">
        <f t="shared" si="27"/>
        <v>0</v>
      </c>
      <c r="J146" s="476">
        <f t="shared" si="28"/>
        <v>0</v>
      </c>
      <c r="K146" s="476"/>
      <c r="L146" s="485"/>
      <c r="M146" s="476">
        <f t="shared" si="29"/>
        <v>0</v>
      </c>
      <c r="N146" s="485"/>
      <c r="O146" s="476">
        <f t="shared" si="30"/>
        <v>0</v>
      </c>
      <c r="P146" s="476">
        <f t="shared" si="31"/>
        <v>0</v>
      </c>
    </row>
    <row r="147" spans="2:16">
      <c r="B147" s="160" t="str">
        <f t="shared" si="19"/>
        <v/>
      </c>
      <c r="C147" s="470">
        <f>IF(D93="","-",+C146+1)</f>
        <v>2067</v>
      </c>
      <c r="D147" s="345">
        <f>IF(F146+SUM(E$99:E146)=D$92,F146,D$92-SUM(E$99:E146))</f>
        <v>0</v>
      </c>
      <c r="E147" s="482">
        <f t="shared" si="23"/>
        <v>0</v>
      </c>
      <c r="F147" s="483">
        <f t="shared" si="24"/>
        <v>0</v>
      </c>
      <c r="G147" s="483">
        <f t="shared" si="25"/>
        <v>0</v>
      </c>
      <c r="H147" s="611">
        <f t="shared" si="26"/>
        <v>0</v>
      </c>
      <c r="I147" s="612">
        <f t="shared" si="27"/>
        <v>0</v>
      </c>
      <c r="J147" s="476">
        <f t="shared" si="28"/>
        <v>0</v>
      </c>
      <c r="K147" s="476"/>
      <c r="L147" s="485"/>
      <c r="M147" s="476">
        <f t="shared" si="29"/>
        <v>0</v>
      </c>
      <c r="N147" s="485"/>
      <c r="O147" s="476">
        <f t="shared" si="30"/>
        <v>0</v>
      </c>
      <c r="P147" s="476">
        <f t="shared" si="31"/>
        <v>0</v>
      </c>
    </row>
    <row r="148" spans="2:16">
      <c r="B148" s="160" t="str">
        <f t="shared" si="19"/>
        <v/>
      </c>
      <c r="C148" s="470">
        <f>IF(D93="","-",+C147+1)</f>
        <v>2068</v>
      </c>
      <c r="D148" s="345">
        <f>IF(F147+SUM(E$99:E147)=D$92,F147,D$92-SUM(E$99:E147))</f>
        <v>0</v>
      </c>
      <c r="E148" s="482">
        <f t="shared" si="23"/>
        <v>0</v>
      </c>
      <c r="F148" s="483">
        <f t="shared" si="24"/>
        <v>0</v>
      </c>
      <c r="G148" s="483">
        <f t="shared" si="25"/>
        <v>0</v>
      </c>
      <c r="H148" s="611">
        <f t="shared" si="26"/>
        <v>0</v>
      </c>
      <c r="I148" s="612">
        <f t="shared" si="27"/>
        <v>0</v>
      </c>
      <c r="J148" s="476">
        <f t="shared" si="28"/>
        <v>0</v>
      </c>
      <c r="K148" s="476"/>
      <c r="L148" s="485"/>
      <c r="M148" s="476">
        <f t="shared" si="29"/>
        <v>0</v>
      </c>
      <c r="N148" s="485"/>
      <c r="O148" s="476">
        <f t="shared" si="30"/>
        <v>0</v>
      </c>
      <c r="P148" s="476">
        <f t="shared" si="31"/>
        <v>0</v>
      </c>
    </row>
    <row r="149" spans="2:16">
      <c r="B149" s="160" t="str">
        <f t="shared" si="19"/>
        <v/>
      </c>
      <c r="C149" s="470">
        <f>IF(D93="","-",+C148+1)</f>
        <v>2069</v>
      </c>
      <c r="D149" s="345">
        <f>IF(F148+SUM(E$99:E148)=D$92,F148,D$92-SUM(E$99:E148))</f>
        <v>0</v>
      </c>
      <c r="E149" s="482">
        <f t="shared" si="23"/>
        <v>0</v>
      </c>
      <c r="F149" s="483">
        <f t="shared" si="24"/>
        <v>0</v>
      </c>
      <c r="G149" s="483">
        <f t="shared" si="25"/>
        <v>0</v>
      </c>
      <c r="H149" s="611">
        <f t="shared" si="26"/>
        <v>0</v>
      </c>
      <c r="I149" s="612">
        <f t="shared" si="27"/>
        <v>0</v>
      </c>
      <c r="J149" s="476">
        <f t="shared" si="28"/>
        <v>0</v>
      </c>
      <c r="K149" s="476"/>
      <c r="L149" s="485"/>
      <c r="M149" s="476">
        <f t="shared" si="29"/>
        <v>0</v>
      </c>
      <c r="N149" s="485"/>
      <c r="O149" s="476">
        <f t="shared" si="30"/>
        <v>0</v>
      </c>
      <c r="P149" s="476">
        <f t="shared" si="31"/>
        <v>0</v>
      </c>
    </row>
    <row r="150" spans="2:16">
      <c r="B150" s="160" t="str">
        <f t="shared" si="19"/>
        <v/>
      </c>
      <c r="C150" s="470">
        <f>IF(D93="","-",+C149+1)</f>
        <v>2070</v>
      </c>
      <c r="D150" s="345">
        <f>IF(F149+SUM(E$99:E149)=D$92,F149,D$92-SUM(E$99:E149))</f>
        <v>0</v>
      </c>
      <c r="E150" s="482">
        <f t="shared" si="23"/>
        <v>0</v>
      </c>
      <c r="F150" s="483">
        <f t="shared" si="24"/>
        <v>0</v>
      </c>
      <c r="G150" s="483">
        <f t="shared" si="25"/>
        <v>0</v>
      </c>
      <c r="H150" s="611">
        <f t="shared" si="26"/>
        <v>0</v>
      </c>
      <c r="I150" s="612">
        <f t="shared" si="27"/>
        <v>0</v>
      </c>
      <c r="J150" s="476">
        <f t="shared" si="28"/>
        <v>0</v>
      </c>
      <c r="K150" s="476"/>
      <c r="L150" s="485"/>
      <c r="M150" s="476">
        <f t="shared" si="29"/>
        <v>0</v>
      </c>
      <c r="N150" s="485"/>
      <c r="O150" s="476">
        <f t="shared" si="30"/>
        <v>0</v>
      </c>
      <c r="P150" s="476">
        <f t="shared" si="31"/>
        <v>0</v>
      </c>
    </row>
    <row r="151" spans="2:16">
      <c r="B151" s="160" t="str">
        <f t="shared" si="19"/>
        <v/>
      </c>
      <c r="C151" s="470">
        <f>IF(D93="","-",+C150+1)</f>
        <v>2071</v>
      </c>
      <c r="D151" s="345">
        <f>IF(F150+SUM(E$99:E150)=D$92,F150,D$92-SUM(E$99:E150))</f>
        <v>0</v>
      </c>
      <c r="E151" s="482">
        <f t="shared" si="23"/>
        <v>0</v>
      </c>
      <c r="F151" s="483">
        <f t="shared" si="24"/>
        <v>0</v>
      </c>
      <c r="G151" s="483">
        <f t="shared" si="25"/>
        <v>0</v>
      </c>
      <c r="H151" s="611">
        <f t="shared" si="26"/>
        <v>0</v>
      </c>
      <c r="I151" s="612">
        <f t="shared" si="27"/>
        <v>0</v>
      </c>
      <c r="J151" s="476">
        <f t="shared" si="28"/>
        <v>0</v>
      </c>
      <c r="K151" s="476"/>
      <c r="L151" s="485"/>
      <c r="M151" s="476">
        <f t="shared" si="29"/>
        <v>0</v>
      </c>
      <c r="N151" s="485"/>
      <c r="O151" s="476">
        <f t="shared" si="30"/>
        <v>0</v>
      </c>
      <c r="P151" s="476">
        <f t="shared" si="31"/>
        <v>0</v>
      </c>
    </row>
    <row r="152" spans="2:16">
      <c r="B152" s="160" t="str">
        <f t="shared" si="19"/>
        <v/>
      </c>
      <c r="C152" s="470">
        <f>IF(D93="","-",+C151+1)</f>
        <v>2072</v>
      </c>
      <c r="D152" s="345">
        <f>IF(F151+SUM(E$99:E151)=D$92,F151,D$92-SUM(E$99:E151))</f>
        <v>0</v>
      </c>
      <c r="E152" s="482">
        <f t="shared" si="23"/>
        <v>0</v>
      </c>
      <c r="F152" s="483">
        <f t="shared" si="24"/>
        <v>0</v>
      </c>
      <c r="G152" s="483">
        <f t="shared" si="25"/>
        <v>0</v>
      </c>
      <c r="H152" s="611">
        <f t="shared" si="26"/>
        <v>0</v>
      </c>
      <c r="I152" s="612">
        <f t="shared" si="27"/>
        <v>0</v>
      </c>
      <c r="J152" s="476">
        <f t="shared" si="28"/>
        <v>0</v>
      </c>
      <c r="K152" s="476"/>
      <c r="L152" s="485"/>
      <c r="M152" s="476">
        <f t="shared" si="29"/>
        <v>0</v>
      </c>
      <c r="N152" s="485"/>
      <c r="O152" s="476">
        <f t="shared" si="30"/>
        <v>0</v>
      </c>
      <c r="P152" s="476">
        <f t="shared" si="31"/>
        <v>0</v>
      </c>
    </row>
    <row r="153" spans="2:16">
      <c r="B153" s="160" t="str">
        <f t="shared" si="19"/>
        <v/>
      </c>
      <c r="C153" s="470">
        <f>IF(D93="","-",+C152+1)</f>
        <v>2073</v>
      </c>
      <c r="D153" s="345">
        <f>IF(F152+SUM(E$99:E152)=D$92,F152,D$92-SUM(E$99:E152))</f>
        <v>0</v>
      </c>
      <c r="E153" s="482">
        <f t="shared" si="23"/>
        <v>0</v>
      </c>
      <c r="F153" s="483">
        <f t="shared" si="24"/>
        <v>0</v>
      </c>
      <c r="G153" s="483">
        <f t="shared" si="25"/>
        <v>0</v>
      </c>
      <c r="H153" s="611">
        <f t="shared" si="26"/>
        <v>0</v>
      </c>
      <c r="I153" s="612">
        <f t="shared" si="27"/>
        <v>0</v>
      </c>
      <c r="J153" s="476">
        <f t="shared" si="28"/>
        <v>0</v>
      </c>
      <c r="K153" s="476"/>
      <c r="L153" s="485"/>
      <c r="M153" s="476">
        <f t="shared" si="29"/>
        <v>0</v>
      </c>
      <c r="N153" s="485"/>
      <c r="O153" s="476">
        <f t="shared" si="30"/>
        <v>0</v>
      </c>
      <c r="P153" s="476">
        <f t="shared" si="31"/>
        <v>0</v>
      </c>
    </row>
    <row r="154" spans="2:16" ht="13.5" thickBot="1">
      <c r="B154" s="160" t="str">
        <f t="shared" si="19"/>
        <v/>
      </c>
      <c r="C154" s="487">
        <f>IF(D93="","-",+C153+1)</f>
        <v>2074</v>
      </c>
      <c r="D154" s="541">
        <f>IF(F153+SUM(E$99:E153)=D$92,F153,D$92-SUM(E$99:E153))</f>
        <v>0</v>
      </c>
      <c r="E154" s="489">
        <f t="shared" si="23"/>
        <v>0</v>
      </c>
      <c r="F154" s="488">
        <f t="shared" si="24"/>
        <v>0</v>
      </c>
      <c r="G154" s="488">
        <f t="shared" si="25"/>
        <v>0</v>
      </c>
      <c r="H154" s="613">
        <f t="shared" si="26"/>
        <v>0</v>
      </c>
      <c r="I154" s="614">
        <f t="shared" si="27"/>
        <v>0</v>
      </c>
      <c r="J154" s="493">
        <f t="shared" si="28"/>
        <v>0</v>
      </c>
      <c r="K154" s="476"/>
      <c r="L154" s="492"/>
      <c r="M154" s="493">
        <f t="shared" si="29"/>
        <v>0</v>
      </c>
      <c r="N154" s="492"/>
      <c r="O154" s="493">
        <f t="shared" si="30"/>
        <v>0</v>
      </c>
      <c r="P154" s="493">
        <f t="shared" si="31"/>
        <v>0</v>
      </c>
    </row>
    <row r="155" spans="2:16">
      <c r="C155" s="345" t="s">
        <v>77</v>
      </c>
      <c r="D155" s="346"/>
      <c r="E155" s="346">
        <f>SUM(E99:E154)</f>
        <v>8147701</v>
      </c>
      <c r="F155" s="346"/>
      <c r="G155" s="346"/>
      <c r="H155" s="346">
        <f>SUM(H99:H154)</f>
        <v>27466147.412507083</v>
      </c>
      <c r="I155" s="346">
        <f>SUM(I99:I154)</f>
        <v>27466147.412507083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17" priority="1" stopIfTrue="1" operator="equal">
      <formula>$I$10</formula>
    </cfRule>
  </conditionalFormatting>
  <conditionalFormatting sqref="C99:C154">
    <cfRule type="cellIs" dxfId="16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0"/>
  <dimension ref="A1:S137"/>
  <sheetViews>
    <sheetView topLeftCell="A93" zoomScale="70" zoomScaleNormal="70" zoomScaleSheetLayoutView="100" workbookViewId="0">
      <selection activeCell="V52" sqref="V5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0.7109375" style="148" customWidth="1"/>
    <col min="4" max="9" width="17.7109375" style="148" customWidth="1"/>
    <col min="10" max="10" width="17.7109375" style="148" bestFit="1" customWidth="1"/>
    <col min="11" max="11" width="2.140625" style="148" customWidth="1"/>
    <col min="12" max="15" width="17.7109375" style="148" customWidth="1"/>
    <col min="16" max="16" width="19.5703125" style="148" customWidth="1"/>
    <col min="17" max="17" width="2.140625" style="148" customWidth="1"/>
    <col min="18" max="18" width="16.42578125" style="148" customWidth="1"/>
    <col min="19" max="19" width="52.42578125" style="148" customWidth="1"/>
    <col min="20" max="16384" width="8.7109375" style="148"/>
  </cols>
  <sheetData>
    <row r="1" spans="1:19" ht="18">
      <c r="A1" s="661" t="str">
        <f>'PSO.WS.F.BPU.ATRR.Projected'!A1</f>
        <v xml:space="preserve">AEP West SPP Member Companies 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Q1" s="194"/>
      <c r="R1" s="194"/>
    </row>
    <row r="2" spans="1:19" ht="18">
      <c r="A2" s="661" t="str">
        <f>'PSO.WS.F.BPU.ATRR.Projected'!A2</f>
        <v>2025 Cost of Service Formula Rate Projected on 2024 FF1 Balances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Q2" s="238" t="s">
        <v>125</v>
      </c>
      <c r="R2" s="194"/>
    </row>
    <row r="3" spans="1:19" ht="18">
      <c r="A3" s="664" t="s">
        <v>141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Q3" s="194"/>
      <c r="R3" s="194"/>
    </row>
    <row r="4" spans="1:19" ht="18">
      <c r="A4" s="663" t="str">
        <f>"Based on a Carrying Charge Derived from ""Trued-Up"" "&amp;M16&amp;" Data"</f>
        <v>Based on a Carrying Charge Derived from "Trued-Up" 2022 Data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Q4" s="194"/>
      <c r="R4" s="194"/>
    </row>
    <row r="5" spans="1:19" ht="18">
      <c r="A5" s="669" t="str">
        <f>'PSO.WS.F.BPU.ATRR.Projected'!A5</f>
        <v>PUBLIC SERVICE COMPANY OF OKLAHOMA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Q5" s="194"/>
      <c r="R5" s="194"/>
    </row>
    <row r="6" spans="1:19" ht="20.25">
      <c r="A6" s="371"/>
      <c r="C6" s="302"/>
      <c r="D6" s="160"/>
      <c r="I6" s="215"/>
      <c r="K6" s="194"/>
      <c r="Q6" s="194"/>
      <c r="R6" s="194"/>
    </row>
    <row r="7" spans="1:19">
      <c r="D7" s="160"/>
      <c r="I7" s="215"/>
      <c r="K7" s="194"/>
      <c r="Q7" s="194"/>
      <c r="R7" s="194"/>
    </row>
    <row r="8" spans="1:19" ht="38.25" customHeight="1">
      <c r="B8" s="242" t="s">
        <v>0</v>
      </c>
      <c r="C8" s="666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667"/>
      <c r="E8" s="667"/>
      <c r="F8" s="667"/>
      <c r="G8" s="667"/>
      <c r="H8" s="667"/>
      <c r="I8" s="667"/>
      <c r="K8" s="194"/>
      <c r="Q8" s="194"/>
      <c r="R8" s="194"/>
    </row>
    <row r="9" spans="1:19" ht="15.75" customHeight="1">
      <c r="C9" s="372"/>
      <c r="D9" s="372"/>
      <c r="E9" s="372"/>
      <c r="F9" s="372"/>
      <c r="G9" s="372"/>
      <c r="H9" s="372"/>
      <c r="I9" s="372"/>
      <c r="K9" s="194"/>
      <c r="Q9" s="194"/>
      <c r="R9" s="194"/>
    </row>
    <row r="10" spans="1:19" ht="15.75">
      <c r="C10" s="243" t="str">
        <f>"A.   Determine 'R' with hypothetical "&amp;F13&amp;" basis point increase in ROE for Identified Projects"</f>
        <v>A.   Determine 'R' with hypothetical 0 basis point increase in ROE for Identified Projects</v>
      </c>
      <c r="D10" s="160"/>
      <c r="I10" s="215"/>
      <c r="K10" s="194"/>
      <c r="Q10" s="194"/>
      <c r="R10" s="194"/>
    </row>
    <row r="11" spans="1:19">
      <c r="D11" s="160"/>
      <c r="I11" s="215"/>
      <c r="K11" s="194"/>
      <c r="Q11" s="194"/>
      <c r="R11" s="194"/>
    </row>
    <row r="12" spans="1:19">
      <c r="C12" s="246" t="str">
        <f>S105</f>
        <v xml:space="preserve">   ROE w/o incentives  (True-Up TCOS, ln 135)</v>
      </c>
      <c r="D12" s="160"/>
      <c r="E12" s="247"/>
      <c r="F12" s="248">
        <f>+R105</f>
        <v>0.105</v>
      </c>
      <c r="G12" s="248"/>
      <c r="H12" s="249"/>
      <c r="I12" s="250"/>
      <c r="J12" s="251"/>
      <c r="K12" s="252"/>
      <c r="L12" s="251"/>
      <c r="M12" s="251"/>
      <c r="N12" s="251"/>
      <c r="O12" s="251"/>
      <c r="P12" s="251"/>
      <c r="Q12" s="252"/>
      <c r="R12" s="241"/>
      <c r="S12" s="231"/>
    </row>
    <row r="13" spans="1:19" ht="13.5" thickBot="1">
      <c r="C13" s="246" t="s">
        <v>1</v>
      </c>
      <c r="D13" s="160"/>
      <c r="E13" s="247"/>
      <c r="F13" s="373">
        <f>R106</f>
        <v>0</v>
      </c>
      <c r="G13" s="374" t="s">
        <v>152</v>
      </c>
      <c r="L13" s="251"/>
      <c r="M13" s="251"/>
      <c r="N13" s="251"/>
      <c r="O13" s="251"/>
      <c r="P13" s="251"/>
      <c r="Q13" s="252"/>
      <c r="R13" s="241"/>
      <c r="S13" s="231"/>
    </row>
    <row r="14" spans="1:19">
      <c r="C14" s="246" t="str">
        <f>"   ROE with additional "&amp;F13&amp;" basis point incentive"</f>
        <v xml:space="preserve">   ROE with additional 0 basis point incentive</v>
      </c>
      <c r="D14" s="247"/>
      <c r="E14" s="247"/>
      <c r="F14" s="254">
        <f>IF((F12+(F13/10000)&gt;0.1245),"ERROR",F12+(F13/10000))</f>
        <v>0.105</v>
      </c>
      <c r="G14" s="255" t="s">
        <v>2</v>
      </c>
      <c r="I14" s="251"/>
      <c r="J14" s="251"/>
      <c r="K14" s="252"/>
      <c r="L14" s="375" t="s">
        <v>89</v>
      </c>
      <c r="M14" s="376"/>
      <c r="N14" s="376"/>
      <c r="O14" s="376"/>
      <c r="P14" s="377"/>
      <c r="Q14" s="252"/>
      <c r="R14" s="241"/>
      <c r="S14" s="231"/>
    </row>
    <row r="15" spans="1:19">
      <c r="C15" s="246" t="s">
        <v>235</v>
      </c>
      <c r="D15" s="160"/>
      <c r="E15" s="247"/>
      <c r="F15" s="254"/>
      <c r="G15" s="254"/>
      <c r="H15" s="247"/>
      <c r="I15" s="251"/>
      <c r="J15" s="251"/>
      <c r="K15" s="252"/>
      <c r="L15" s="264"/>
      <c r="M15" s="252"/>
      <c r="N15" s="252" t="s">
        <v>8</v>
      </c>
      <c r="O15" s="252" t="s">
        <v>9</v>
      </c>
      <c r="P15" s="266" t="s">
        <v>10</v>
      </c>
      <c r="Q15" s="252"/>
      <c r="R15" s="241"/>
      <c r="S15" s="231"/>
    </row>
    <row r="16" spans="1:19">
      <c r="C16" s="252"/>
      <c r="D16" s="256" t="s">
        <v>4</v>
      </c>
      <c r="E16" s="256" t="s">
        <v>5</v>
      </c>
      <c r="F16" s="257" t="s">
        <v>6</v>
      </c>
      <c r="G16" s="257"/>
      <c r="H16" s="247"/>
      <c r="I16" s="251"/>
      <c r="J16" s="251"/>
      <c r="K16" s="252"/>
      <c r="L16" s="264" t="s">
        <v>90</v>
      </c>
      <c r="M16" s="378">
        <f>+R104</f>
        <v>2022</v>
      </c>
      <c r="N16" s="194"/>
      <c r="O16" s="194"/>
      <c r="P16" s="271"/>
      <c r="Q16" s="252"/>
      <c r="R16" s="241"/>
      <c r="S16" s="231"/>
    </row>
    <row r="17" spans="3:19">
      <c r="C17" s="258" t="s">
        <v>7</v>
      </c>
      <c r="D17" s="259">
        <f>R107</f>
        <v>0.45612323681704114</v>
      </c>
      <c r="E17" s="260">
        <f>R108</f>
        <v>3.4943152329142656E-2</v>
      </c>
      <c r="F17" s="379">
        <f>E17*D17</f>
        <v>1.593838374495948E-2</v>
      </c>
      <c r="G17" s="379"/>
      <c r="H17" s="247"/>
      <c r="I17" s="251"/>
      <c r="J17" s="262"/>
      <c r="K17" s="263"/>
      <c r="L17" s="270"/>
      <c r="M17" s="380" t="s">
        <v>219</v>
      </c>
      <c r="N17" s="381">
        <f>SUM('P.001:P.xyz - blank'!M87)</f>
        <v>8356236.6390766278</v>
      </c>
      <c r="O17" s="381">
        <f>SUM('P.001:P.xyz - blank'!N87)</f>
        <v>8356236.6390766278</v>
      </c>
      <c r="P17" s="382">
        <f>+O17-N17</f>
        <v>0</v>
      </c>
      <c r="Q17" s="263"/>
      <c r="R17" s="241"/>
      <c r="S17" s="231"/>
    </row>
    <row r="18" spans="3:19" ht="13.5" thickBot="1">
      <c r="C18" s="258" t="s">
        <v>11</v>
      </c>
      <c r="D18" s="259">
        <f>R109</f>
        <v>0</v>
      </c>
      <c r="E18" s="260">
        <f>R110</f>
        <v>0</v>
      </c>
      <c r="F18" s="379">
        <f>E18*D18</f>
        <v>0</v>
      </c>
      <c r="G18" s="379"/>
      <c r="H18" s="267"/>
      <c r="I18" s="267"/>
      <c r="J18" s="268"/>
      <c r="K18" s="269"/>
      <c r="L18" s="270"/>
      <c r="M18" s="383" t="s">
        <v>218</v>
      </c>
      <c r="N18" s="384">
        <f>SUM('P.001:P.xyz - blank'!M88)</f>
        <v>8362863.3214887884</v>
      </c>
      <c r="O18" s="384">
        <f>SUM('P.001:P.xyz - blank'!N88)</f>
        <v>8362863.3214887884</v>
      </c>
      <c r="P18" s="277">
        <f>+O18-N18</f>
        <v>0</v>
      </c>
      <c r="Q18" s="269"/>
      <c r="R18" s="241"/>
      <c r="S18" s="231"/>
    </row>
    <row r="19" spans="3:19">
      <c r="C19" s="272" t="s">
        <v>12</v>
      </c>
      <c r="D19" s="259">
        <f>R111</f>
        <v>0.54387676318295886</v>
      </c>
      <c r="E19" s="260">
        <f>+F14</f>
        <v>0.105</v>
      </c>
      <c r="F19" s="385">
        <f>E19*D19</f>
        <v>5.7107060134210678E-2</v>
      </c>
      <c r="G19" s="385"/>
      <c r="H19" s="267"/>
      <c r="I19" s="267"/>
      <c r="J19" s="254"/>
      <c r="K19" s="269"/>
      <c r="L19" s="270"/>
      <c r="M19" s="386" t="str">
        <f>"True-up Adjustment For "&amp;M16&amp;""</f>
        <v>True-up Adjustment For 2022</v>
      </c>
      <c r="N19" s="387">
        <f>+N18-N17</f>
        <v>6626.6824121605605</v>
      </c>
      <c r="O19" s="387">
        <f>+O18-O17</f>
        <v>6626.6824121605605</v>
      </c>
      <c r="P19" s="388">
        <f>+P18-P17</f>
        <v>0</v>
      </c>
      <c r="Q19" s="269"/>
      <c r="R19" s="241"/>
      <c r="S19" s="231"/>
    </row>
    <row r="20" spans="3:19">
      <c r="C20" s="246"/>
      <c r="D20" s="247"/>
      <c r="E20" s="278" t="s">
        <v>14</v>
      </c>
      <c r="F20" s="379">
        <f>SUM(F17:F19)</f>
        <v>7.3045443879170155E-2</v>
      </c>
      <c r="G20" s="379"/>
      <c r="H20" s="389"/>
      <c r="I20" s="267"/>
      <c r="J20" s="268"/>
      <c r="K20" s="269"/>
      <c r="L20" s="270"/>
      <c r="M20" s="194"/>
      <c r="N20" s="279" t="str">
        <f>IF(ROUND(N19,0)=ROUND(SUM('P.001:P.xyz - blank'!M89),0),"","ERROR")</f>
        <v/>
      </c>
      <c r="O20" s="279" t="str">
        <f>IF(ROUND(O19,0)=ROUND(SUM('P.001:P.xyz - blank'!N89),0),"","ERROR")</f>
        <v/>
      </c>
      <c r="P20" s="279" t="str">
        <f>IF(P19=SUM('P.001:P.xyz - blank'!O89),"","ERROR")</f>
        <v/>
      </c>
      <c r="Q20" s="269"/>
      <c r="R20" s="241"/>
      <c r="S20" s="231"/>
    </row>
    <row r="21" spans="3:19" ht="13.5" thickBot="1">
      <c r="D21" s="280"/>
      <c r="E21" s="280"/>
      <c r="F21" s="267"/>
      <c r="G21" s="267"/>
      <c r="H21" s="267"/>
      <c r="I21" s="267"/>
      <c r="J21" s="267"/>
      <c r="K21" s="281"/>
      <c r="L21" s="390"/>
      <c r="M21" s="391"/>
      <c r="N21" s="392"/>
      <c r="O21" s="392"/>
      <c r="P21" s="277"/>
      <c r="Q21" s="281"/>
      <c r="R21" s="241"/>
      <c r="S21" s="231"/>
    </row>
    <row r="22" spans="3:19" ht="15.75">
      <c r="C22" s="243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280"/>
      <c r="E22" s="280"/>
      <c r="F22" s="282"/>
      <c r="G22" s="282"/>
      <c r="H22" s="267"/>
      <c r="I22" s="247"/>
      <c r="J22" s="267"/>
      <c r="K22" s="281"/>
      <c r="L22" s="267"/>
      <c r="M22" s="267"/>
      <c r="N22" s="267"/>
      <c r="O22" s="267"/>
      <c r="P22" s="267"/>
      <c r="Q22" s="281"/>
      <c r="R22" s="241"/>
      <c r="S22" s="231"/>
    </row>
    <row r="23" spans="3:19">
      <c r="C23" s="252"/>
      <c r="D23" s="280"/>
      <c r="E23" s="280"/>
      <c r="F23" s="281"/>
      <c r="G23" s="281"/>
      <c r="H23" s="281"/>
      <c r="I23" s="281"/>
      <c r="J23" s="281"/>
      <c r="K23" s="281"/>
      <c r="L23" s="178" t="s">
        <v>15</v>
      </c>
      <c r="M23" s="281"/>
      <c r="N23" s="281"/>
      <c r="O23" s="281"/>
      <c r="P23" s="281"/>
      <c r="Q23" s="281"/>
      <c r="R23" s="241"/>
      <c r="S23" s="231"/>
    </row>
    <row r="24" spans="3:19">
      <c r="C24" s="246" t="str">
        <f>S112</f>
        <v xml:space="preserve">   Rate Base  (True-Up TCOS, ln 63)</v>
      </c>
      <c r="D24" s="247"/>
      <c r="E24" s="284">
        <f>R112</f>
        <v>576614540.62033641</v>
      </c>
      <c r="F24" s="285"/>
      <c r="G24" s="285"/>
      <c r="H24" s="281"/>
      <c r="I24" s="281"/>
      <c r="J24" s="281"/>
      <c r="K24" s="281"/>
      <c r="L24" s="148" t="s">
        <v>16</v>
      </c>
      <c r="M24" s="281"/>
      <c r="N24" s="281"/>
      <c r="O24" s="281"/>
      <c r="P24" s="285"/>
      <c r="Q24" s="281"/>
      <c r="R24" s="241"/>
      <c r="S24" s="231"/>
    </row>
    <row r="25" spans="3:19">
      <c r="C25" s="252" t="s">
        <v>17</v>
      </c>
      <c r="D25" s="249"/>
      <c r="E25" s="286">
        <f>F20</f>
        <v>7.3045443879170155E-2</v>
      </c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41"/>
      <c r="S25" s="231"/>
    </row>
    <row r="26" spans="3:19">
      <c r="C26" s="287" t="s">
        <v>18</v>
      </c>
      <c r="D26" s="287"/>
      <c r="E26" s="268">
        <f>E24*E25</f>
        <v>42119065.066796266</v>
      </c>
      <c r="F26" s="281"/>
      <c r="G26" s="281"/>
      <c r="H26" s="281"/>
      <c r="I26" s="281"/>
      <c r="J26" s="269"/>
      <c r="K26" s="269"/>
      <c r="L26" s="269"/>
      <c r="M26" s="269"/>
      <c r="N26" s="269"/>
      <c r="O26" s="269"/>
      <c r="P26" s="281"/>
      <c r="Q26" s="269"/>
      <c r="R26" s="241"/>
      <c r="S26" s="231"/>
    </row>
    <row r="27" spans="3:19">
      <c r="C27" s="288"/>
      <c r="D27" s="251"/>
      <c r="E27" s="251"/>
      <c r="F27" s="281"/>
      <c r="G27" s="281"/>
      <c r="H27" s="281"/>
      <c r="I27" s="281"/>
      <c r="J27" s="269"/>
      <c r="K27" s="269"/>
      <c r="L27" s="269"/>
      <c r="M27" s="269"/>
      <c r="N27" s="269"/>
      <c r="O27" s="269"/>
      <c r="P27" s="281"/>
      <c r="Q27" s="269"/>
      <c r="R27" s="241"/>
      <c r="S27" s="231"/>
    </row>
    <row r="28" spans="3:19" ht="15.75">
      <c r="C28" s="243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289"/>
      <c r="E28" s="289"/>
      <c r="F28" s="290"/>
      <c r="G28" s="290"/>
      <c r="H28" s="290"/>
      <c r="I28" s="290"/>
      <c r="J28" s="291"/>
      <c r="K28" s="291"/>
      <c r="L28" s="291"/>
      <c r="M28" s="291"/>
      <c r="N28" s="291"/>
      <c r="O28" s="291"/>
      <c r="P28" s="290"/>
      <c r="Q28" s="291"/>
      <c r="R28" s="241"/>
      <c r="S28" s="231"/>
    </row>
    <row r="29" spans="3:19">
      <c r="C29" s="246"/>
      <c r="D29" s="251"/>
      <c r="E29" s="251"/>
      <c r="F29" s="281"/>
      <c r="G29" s="281"/>
      <c r="H29" s="281"/>
      <c r="I29" s="281"/>
      <c r="J29" s="269"/>
      <c r="K29" s="269"/>
      <c r="L29" s="269"/>
      <c r="M29" s="269"/>
      <c r="N29" s="269">
        <f>+N17-6729904</f>
        <v>1626332.6390766278</v>
      </c>
      <c r="O29" s="269"/>
      <c r="P29" s="281"/>
      <c r="Q29" s="269"/>
      <c r="R29" s="241"/>
      <c r="S29" s="231"/>
    </row>
    <row r="30" spans="3:19">
      <c r="C30" s="252" t="s">
        <v>19</v>
      </c>
      <c r="D30" s="278"/>
      <c r="E30" s="292">
        <f>E26</f>
        <v>42119065.066796266</v>
      </c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41"/>
      <c r="S30" s="231"/>
    </row>
    <row r="31" spans="3:19">
      <c r="C31" s="246" t="str">
        <f>S113</f>
        <v xml:space="preserve">   Tax Rate  (True-Up TCOS, ln 105)</v>
      </c>
      <c r="D31" s="278"/>
      <c r="E31" s="293">
        <f>R113</f>
        <v>0.25321299999999991</v>
      </c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41"/>
      <c r="S31" s="231"/>
    </row>
    <row r="32" spans="3:19">
      <c r="C32" s="252" t="s">
        <v>20</v>
      </c>
      <c r="D32" s="239"/>
      <c r="E32" s="254">
        <f>IF(F17&gt;0,($E31/(1-$E31))*(1-$F17/$F20),0)</f>
        <v>0.26508546795705962</v>
      </c>
      <c r="F32" s="231"/>
      <c r="G32" s="231"/>
      <c r="H32" s="231"/>
      <c r="I32" s="240"/>
      <c r="J32" s="231"/>
      <c r="K32" s="241"/>
      <c r="L32" s="231"/>
      <c r="M32" s="231"/>
      <c r="N32" s="231"/>
      <c r="O32" s="231"/>
      <c r="P32" s="231"/>
      <c r="Q32" s="241"/>
      <c r="R32" s="241"/>
      <c r="S32" s="337"/>
    </row>
    <row r="33" spans="2:19">
      <c r="C33" s="288" t="s">
        <v>21</v>
      </c>
      <c r="D33" s="239"/>
      <c r="E33" s="295">
        <f>E30*E32</f>
        <v>11165152.073145531</v>
      </c>
      <c r="F33" s="231"/>
      <c r="G33" s="231"/>
      <c r="H33" s="231"/>
      <c r="I33" s="240"/>
      <c r="J33" s="231"/>
      <c r="K33" s="241"/>
      <c r="L33" s="231"/>
      <c r="M33" s="231"/>
      <c r="N33" s="231"/>
      <c r="O33" s="231"/>
      <c r="P33" s="231"/>
      <c r="Q33" s="241"/>
      <c r="R33" s="241"/>
      <c r="S33" s="231"/>
    </row>
    <row r="34" spans="2:19" ht="15">
      <c r="C34" s="246" t="str">
        <f>+S114</f>
        <v xml:space="preserve">   ITC Adjustment  (True-Up TCOS, ln 102)</v>
      </c>
      <c r="D34" s="296"/>
      <c r="E34" s="297">
        <f>R114</f>
        <v>-397904.12505828106</v>
      </c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8"/>
      <c r="Q34" s="296"/>
      <c r="R34" s="241"/>
      <c r="S34" s="231"/>
    </row>
    <row r="35" spans="2:19" ht="15">
      <c r="C35" s="304" t="str">
        <f>+S115</f>
        <v xml:space="preserve">   Excess DFIT Adjustment  (TCOS, ln 109)</v>
      </c>
      <c r="D35" s="296"/>
      <c r="E35" s="297">
        <f>R115</f>
        <v>-4796610.6158784227</v>
      </c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8"/>
      <c r="Q35" s="296"/>
      <c r="R35" s="241"/>
      <c r="S35" s="231"/>
    </row>
    <row r="36" spans="2:19" ht="15">
      <c r="C36" s="304" t="str">
        <f>+S116</f>
        <v xml:space="preserve">   Tax Effect of Permanent and Flow Through Differences (TCOS, ln 110)</v>
      </c>
      <c r="D36" s="296"/>
      <c r="E36" s="297">
        <f>R116</f>
        <v>72099.192942565947</v>
      </c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8"/>
      <c r="Q36" s="296"/>
      <c r="R36" s="241"/>
      <c r="S36" s="231"/>
    </row>
    <row r="37" spans="2:19" ht="15">
      <c r="C37" s="288" t="s">
        <v>22</v>
      </c>
      <c r="D37" s="296"/>
      <c r="E37" s="297">
        <f>E33+E34+E35+E36</f>
        <v>6042736.5251513943</v>
      </c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9"/>
      <c r="Q37" s="296"/>
      <c r="R37" s="241"/>
      <c r="S37" s="231"/>
    </row>
    <row r="38" spans="2:19" ht="12.75" customHeight="1">
      <c r="C38" s="300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9"/>
      <c r="Q38" s="296"/>
      <c r="R38" s="241"/>
      <c r="S38" s="231"/>
    </row>
    <row r="39" spans="2:19" ht="18.75">
      <c r="B39" s="301" t="s">
        <v>23</v>
      </c>
      <c r="C39" s="302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9"/>
      <c r="Q39" s="296"/>
      <c r="R39" s="241"/>
      <c r="S39" s="231"/>
    </row>
    <row r="40" spans="2:19" ht="18.75" customHeight="1">
      <c r="B40" s="301"/>
      <c r="C40" s="302" t="str">
        <f>"ROE increase."</f>
        <v>ROE increase.</v>
      </c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9"/>
      <c r="Q40" s="296"/>
      <c r="R40" s="241"/>
      <c r="S40" s="231"/>
    </row>
    <row r="41" spans="2:19" ht="12.75" customHeight="1">
      <c r="C41" s="300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9"/>
      <c r="Q41" s="296"/>
      <c r="R41" s="241"/>
      <c r="S41" s="231"/>
    </row>
    <row r="42" spans="2:19" ht="15.75">
      <c r="C42" s="243" t="s">
        <v>24</v>
      </c>
      <c r="D42" s="296"/>
      <c r="E42" s="296"/>
      <c r="F42" s="303"/>
      <c r="G42" s="303"/>
      <c r="H42" s="296"/>
      <c r="I42" s="296"/>
      <c r="J42" s="296"/>
      <c r="K42" s="296"/>
      <c r="L42" s="296"/>
      <c r="M42" s="296"/>
      <c r="N42" s="296"/>
      <c r="O42" s="296"/>
      <c r="P42" s="299"/>
      <c r="Q42" s="296"/>
      <c r="R42" s="241"/>
      <c r="S42" s="231"/>
    </row>
    <row r="43" spans="2:19">
      <c r="B43" s="231"/>
      <c r="C43" s="304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297"/>
      <c r="Q43" s="305"/>
      <c r="R43" s="241"/>
      <c r="S43" s="231"/>
    </row>
    <row r="44" spans="2:19" ht="12.75" customHeight="1">
      <c r="B44" s="231"/>
      <c r="C44" s="246" t="str">
        <f>S117</f>
        <v xml:space="preserve">   Net Revenue Requirement  (True-Up TCOS, ln 109)</v>
      </c>
      <c r="D44" s="305"/>
      <c r="E44" s="305"/>
      <c r="F44" s="297">
        <f>R117</f>
        <v>101516645.5472271</v>
      </c>
      <c r="G44" s="297"/>
      <c r="H44" s="305"/>
      <c r="I44" s="305"/>
      <c r="J44" s="305"/>
      <c r="K44" s="305"/>
      <c r="L44" s="305"/>
      <c r="M44" s="305"/>
      <c r="N44" s="305"/>
      <c r="O44" s="305"/>
      <c r="P44" s="297"/>
      <c r="Q44" s="305"/>
      <c r="R44" s="241"/>
      <c r="S44" s="231"/>
    </row>
    <row r="45" spans="2:19">
      <c r="B45" s="231"/>
      <c r="C45" s="246" t="str">
        <f>S118</f>
        <v xml:space="preserve">   Return  (True-Up TCOS, ln 104)</v>
      </c>
      <c r="D45" s="305"/>
      <c r="E45" s="305"/>
      <c r="F45" s="297">
        <f>R118</f>
        <v>42119065.066796266</v>
      </c>
      <c r="G45" s="306"/>
      <c r="H45" s="307"/>
      <c r="I45" s="307"/>
      <c r="J45" s="307"/>
      <c r="K45" s="307"/>
      <c r="L45" s="307"/>
      <c r="M45" s="307"/>
      <c r="N45" s="307"/>
      <c r="O45" s="307"/>
      <c r="P45" s="297"/>
      <c r="Q45" s="307"/>
      <c r="R45" s="241"/>
      <c r="S45" s="231"/>
    </row>
    <row r="46" spans="2:19">
      <c r="B46" s="231"/>
      <c r="C46" s="246" t="str">
        <f>S119</f>
        <v xml:space="preserve">   Income Taxes  (True-Up TCOS, ln 103)</v>
      </c>
      <c r="D46" s="305"/>
      <c r="E46" s="305"/>
      <c r="F46" s="297">
        <f>R119</f>
        <v>6042736.5251513943</v>
      </c>
      <c r="G46" s="297"/>
      <c r="H46" s="305"/>
      <c r="I46" s="305"/>
      <c r="J46" s="308"/>
      <c r="K46" s="308"/>
      <c r="L46" s="308"/>
      <c r="M46" s="308"/>
      <c r="N46" s="308"/>
      <c r="O46" s="308"/>
      <c r="P46" s="305"/>
      <c r="Q46" s="308"/>
      <c r="R46" s="241"/>
      <c r="S46" s="231"/>
    </row>
    <row r="47" spans="2:19">
      <c r="B47" s="231"/>
      <c r="C47" s="246" t="str">
        <f>S120</f>
        <v xml:space="preserve">  Gross Margin Taxes  (True-Up TCOS, ln 108)</v>
      </c>
      <c r="D47" s="305"/>
      <c r="E47" s="305"/>
      <c r="F47" s="309">
        <f>R120</f>
        <v>0</v>
      </c>
      <c r="G47" s="297"/>
      <c r="H47" s="305"/>
      <c r="I47" s="305"/>
      <c r="J47" s="308"/>
      <c r="K47" s="308"/>
      <c r="L47" s="308"/>
      <c r="M47" s="308"/>
      <c r="N47" s="308"/>
      <c r="O47" s="308"/>
      <c r="P47" s="305"/>
      <c r="Q47" s="308"/>
      <c r="R47" s="241"/>
      <c r="S47" s="231"/>
    </row>
    <row r="48" spans="2:19">
      <c r="B48" s="231"/>
      <c r="C48" s="310" t="s">
        <v>25</v>
      </c>
      <c r="D48" s="305"/>
      <c r="E48" s="305"/>
      <c r="F48" s="306">
        <f>F44-F45-F46-F47</f>
        <v>53354843.95527944</v>
      </c>
      <c r="G48" s="306"/>
      <c r="H48" s="311"/>
      <c r="I48" s="305"/>
      <c r="J48" s="311"/>
      <c r="K48" s="311"/>
      <c r="L48" s="311"/>
      <c r="M48" s="311"/>
      <c r="N48" s="311"/>
      <c r="O48" s="311"/>
      <c r="P48" s="311"/>
      <c r="Q48" s="311"/>
      <c r="R48" s="241"/>
      <c r="S48" s="231"/>
    </row>
    <row r="49" spans="2:19">
      <c r="B49" s="231"/>
      <c r="C49" s="304"/>
      <c r="D49" s="305"/>
      <c r="E49" s="305"/>
      <c r="F49" s="297"/>
      <c r="G49" s="297"/>
      <c r="H49" s="312"/>
      <c r="I49" s="313"/>
      <c r="J49" s="313"/>
      <c r="K49" s="313"/>
      <c r="L49" s="313"/>
      <c r="M49" s="313"/>
      <c r="N49" s="313"/>
      <c r="O49" s="313"/>
      <c r="P49" s="313"/>
      <c r="Q49" s="313"/>
      <c r="R49" s="241"/>
      <c r="S49" s="231"/>
    </row>
    <row r="50" spans="2:19" ht="15.75">
      <c r="B50" s="231"/>
      <c r="C50" s="243" t="str">
        <f>"B.   Determine Net Revenue Requirement with hypothetical "&amp;F13&amp;" basis point increase in ROE."</f>
        <v>B.   Determine Net Revenue Requirement with hypothetical 0 basis point increase in ROE.</v>
      </c>
      <c r="D50" s="314"/>
      <c r="E50" s="314"/>
      <c r="F50" s="297"/>
      <c r="G50" s="297"/>
      <c r="H50" s="312"/>
      <c r="I50" s="313"/>
      <c r="J50" s="313"/>
      <c r="K50" s="313"/>
      <c r="L50" s="313"/>
      <c r="M50" s="313"/>
      <c r="N50" s="313"/>
      <c r="O50" s="313"/>
      <c r="P50" s="313"/>
      <c r="Q50" s="313"/>
      <c r="R50" s="241"/>
      <c r="S50" s="231"/>
    </row>
    <row r="51" spans="2:19">
      <c r="B51" s="231"/>
      <c r="C51" s="304"/>
      <c r="D51" s="314"/>
      <c r="E51" s="314"/>
      <c r="F51" s="297"/>
      <c r="G51" s="297"/>
      <c r="H51" s="312"/>
      <c r="I51" s="313"/>
      <c r="J51" s="313"/>
      <c r="K51" s="313"/>
      <c r="L51" s="313"/>
      <c r="M51" s="313"/>
      <c r="N51" s="313"/>
      <c r="O51" s="313"/>
      <c r="P51" s="313"/>
      <c r="Q51" s="313"/>
      <c r="R51" s="241"/>
      <c r="S51" s="231"/>
    </row>
    <row r="52" spans="2:19">
      <c r="B52" s="231"/>
      <c r="C52" s="304" t="str">
        <f>C48</f>
        <v xml:space="preserve">   Net Revenue Requirement, Less Return and Taxes</v>
      </c>
      <c r="D52" s="314"/>
      <c r="E52" s="314"/>
      <c r="F52" s="297">
        <f>F48</f>
        <v>53354843.95527944</v>
      </c>
      <c r="G52" s="297"/>
      <c r="H52" s="305"/>
      <c r="I52" s="305"/>
      <c r="J52" s="305"/>
      <c r="K52" s="305"/>
      <c r="L52" s="305"/>
      <c r="M52" s="305"/>
      <c r="N52" s="305"/>
      <c r="O52" s="305"/>
      <c r="P52" s="317"/>
      <c r="Q52" s="305"/>
      <c r="R52" s="241"/>
      <c r="S52" s="231"/>
    </row>
    <row r="53" spans="2:19">
      <c r="B53" s="231"/>
      <c r="C53" s="252" t="s">
        <v>103</v>
      </c>
      <c r="D53" s="319"/>
      <c r="E53" s="310"/>
      <c r="F53" s="320">
        <f>E26</f>
        <v>42119065.066796266</v>
      </c>
      <c r="G53" s="320"/>
      <c r="H53" s="310"/>
      <c r="I53" s="321"/>
      <c r="J53" s="310"/>
      <c r="K53" s="310"/>
      <c r="L53" s="310"/>
      <c r="M53" s="310"/>
      <c r="N53" s="310"/>
      <c r="O53" s="310"/>
      <c r="P53" s="310"/>
      <c r="Q53" s="310"/>
      <c r="R53" s="241"/>
      <c r="S53" s="231"/>
    </row>
    <row r="54" spans="2:19" ht="12.75" customHeight="1">
      <c r="B54" s="231"/>
      <c r="C54" s="246" t="s">
        <v>26</v>
      </c>
      <c r="D54" s="305"/>
      <c r="E54" s="305"/>
      <c r="F54" s="393">
        <f>E37</f>
        <v>6042736.5251513943</v>
      </c>
      <c r="G54" s="322"/>
      <c r="H54" s="231"/>
      <c r="I54" s="240"/>
      <c r="J54" s="231"/>
      <c r="K54" s="241"/>
      <c r="L54" s="231"/>
      <c r="M54" s="231"/>
      <c r="N54" s="231"/>
      <c r="O54" s="231"/>
      <c r="P54" s="231"/>
      <c r="Q54" s="241"/>
      <c r="R54" s="241"/>
      <c r="S54" s="231"/>
    </row>
    <row r="55" spans="2:19">
      <c r="B55" s="231"/>
      <c r="C55" s="310" t="str">
        <f>"   Net Revenue Requirement, with "&amp;F13&amp;" Basis Point ROE increase"</f>
        <v xml:space="preserve">   Net Revenue Requirement, with 0 Basis Point ROE increase</v>
      </c>
      <c r="D55" s="239"/>
      <c r="E55" s="231"/>
      <c r="F55" s="295">
        <f>SUM(F52:F54)</f>
        <v>101516645.54722711</v>
      </c>
      <c r="G55" s="295"/>
      <c r="H55" s="231"/>
      <c r="I55" s="240"/>
      <c r="J55" s="231"/>
      <c r="K55" s="241"/>
      <c r="L55" s="231"/>
      <c r="M55" s="231"/>
      <c r="N55" s="231"/>
      <c r="O55" s="231"/>
      <c r="P55" s="231"/>
      <c r="Q55" s="241"/>
      <c r="R55" s="241"/>
      <c r="S55" s="231"/>
    </row>
    <row r="56" spans="2:19">
      <c r="B56" s="231"/>
      <c r="C56" s="323" t="str">
        <f>"   Gross Margin Tax with "&amp;F13&amp;" Basis Point ROE Increase (II C. below)"</f>
        <v xml:space="preserve">   Gross Margin Tax with 0 Basis Point ROE Increase (II C. below)</v>
      </c>
      <c r="D56" s="324"/>
      <c r="E56" s="324"/>
      <c r="F56" s="325">
        <f>+F71</f>
        <v>0</v>
      </c>
      <c r="G56" s="320"/>
      <c r="H56" s="231"/>
      <c r="I56" s="240"/>
      <c r="J56" s="231"/>
      <c r="K56" s="241"/>
      <c r="L56" s="231"/>
      <c r="M56" s="231"/>
      <c r="N56" s="231"/>
      <c r="O56" s="231"/>
      <c r="P56" s="231"/>
      <c r="Q56" s="241"/>
      <c r="R56" s="241"/>
      <c r="S56" s="231"/>
    </row>
    <row r="57" spans="2:19">
      <c r="B57" s="231"/>
      <c r="C57" s="310" t="s">
        <v>27</v>
      </c>
      <c r="D57" s="239"/>
      <c r="E57" s="231"/>
      <c r="F57" s="326">
        <f>+F55+F56</f>
        <v>101516645.54722711</v>
      </c>
      <c r="G57" s="326"/>
      <c r="H57" s="231"/>
      <c r="I57" s="240"/>
      <c r="J57" s="231"/>
      <c r="K57" s="241"/>
      <c r="L57" s="231"/>
      <c r="M57" s="231"/>
      <c r="N57" s="231"/>
      <c r="O57" s="231"/>
      <c r="P57" s="231"/>
      <c r="Q57" s="241"/>
      <c r="R57" s="241"/>
      <c r="S57" s="231"/>
    </row>
    <row r="58" spans="2:19">
      <c r="B58" s="231"/>
      <c r="C58" s="246" t="str">
        <f>S121</f>
        <v xml:space="preserve">   Less: Depreciation  (True-Up TCOS, ln 82)</v>
      </c>
      <c r="D58" s="239"/>
      <c r="E58" s="231"/>
      <c r="F58" s="327">
        <f>R121</f>
        <v>22302747.576007824</v>
      </c>
      <c r="G58" s="327"/>
      <c r="H58" s="231"/>
      <c r="I58" s="240"/>
      <c r="J58" s="231"/>
      <c r="K58" s="241"/>
      <c r="L58" s="231"/>
      <c r="M58" s="231"/>
      <c r="N58" s="231"/>
      <c r="O58" s="231"/>
      <c r="P58" s="231"/>
      <c r="Q58" s="241"/>
      <c r="R58" s="241"/>
      <c r="S58" s="231"/>
    </row>
    <row r="59" spans="2:19">
      <c r="B59" s="231"/>
      <c r="C59" s="310" t="str">
        <f>"   Net Rev. Req, w/"&amp;F13&amp;" Basis Point ROE increase, less Depreciation"</f>
        <v xml:space="preserve">   Net Rev. Req, w/0 Basis Point ROE increase, less Depreciation</v>
      </c>
      <c r="D59" s="239"/>
      <c r="E59" s="231"/>
      <c r="F59" s="295">
        <f>F57-F58</f>
        <v>79213897.971219286</v>
      </c>
      <c r="G59" s="295"/>
      <c r="H59" s="231"/>
      <c r="I59" s="240"/>
      <c r="J59" s="231"/>
      <c r="K59" s="241"/>
      <c r="L59" s="231"/>
      <c r="M59" s="231"/>
      <c r="N59" s="231"/>
      <c r="O59" s="231"/>
      <c r="P59" s="231"/>
      <c r="Q59" s="241"/>
      <c r="R59" s="241"/>
      <c r="S59" s="231"/>
    </row>
    <row r="60" spans="2:19">
      <c r="B60" s="231"/>
      <c r="C60" s="231"/>
      <c r="D60" s="239"/>
      <c r="E60" s="231"/>
      <c r="F60" s="231"/>
      <c r="G60" s="231"/>
      <c r="H60" s="231"/>
      <c r="I60" s="240"/>
      <c r="J60" s="231"/>
      <c r="K60" s="241"/>
      <c r="L60" s="231"/>
      <c r="M60" s="231"/>
      <c r="N60" s="231"/>
      <c r="O60" s="231"/>
      <c r="P60" s="231"/>
      <c r="Q60" s="241"/>
      <c r="R60" s="241"/>
      <c r="S60" s="231"/>
    </row>
    <row r="61" spans="2:19" ht="15.75">
      <c r="B61" s="231"/>
      <c r="C61" s="329" t="str">
        <f>"C.   Determine Gross Margin Tax with hypothetical "&amp;F13&amp;" basis point increase in ROE."</f>
        <v>C.   Determine Gross Margin Tax with hypothetical 0 basis point increase in ROE.</v>
      </c>
      <c r="D61" s="330"/>
      <c r="E61" s="330"/>
      <c r="F61" s="331"/>
      <c r="G61" s="331"/>
      <c r="H61" s="328"/>
      <c r="I61" s="240"/>
      <c r="J61" s="231"/>
      <c r="K61" s="241"/>
      <c r="L61" s="231"/>
      <c r="M61" s="231"/>
      <c r="N61" s="231"/>
      <c r="O61" s="231"/>
      <c r="P61" s="231"/>
      <c r="Q61" s="241"/>
      <c r="R61" s="241"/>
      <c r="S61" s="231"/>
    </row>
    <row r="62" spans="2:19">
      <c r="B62" s="231"/>
      <c r="C62" s="323" t="str">
        <f>"   Net Revenue Requirement before Gross Margin Taxes, with "&amp;F13&amp;" "</f>
        <v xml:space="preserve">   Net Revenue Requirement before Gross Margin Taxes, with 0 </v>
      </c>
      <c r="D62" s="330"/>
      <c r="E62" s="330"/>
      <c r="F62" s="331">
        <f>+F55</f>
        <v>101516645.54722711</v>
      </c>
      <c r="G62" s="331"/>
      <c r="H62" s="328"/>
      <c r="I62" s="240"/>
      <c r="J62" s="231"/>
      <c r="K62" s="241"/>
      <c r="L62" s="231"/>
      <c r="M62" s="231"/>
      <c r="N62" s="231"/>
      <c r="O62" s="231"/>
      <c r="P62" s="231"/>
      <c r="Q62" s="241"/>
      <c r="R62" s="241"/>
      <c r="S62" s="231"/>
    </row>
    <row r="63" spans="2:19">
      <c r="B63" s="231"/>
      <c r="C63" s="323" t="s">
        <v>28</v>
      </c>
      <c r="D63" s="330"/>
      <c r="E63" s="330"/>
      <c r="F63" s="331"/>
      <c r="G63" s="331"/>
      <c r="H63" s="328"/>
      <c r="I63" s="240"/>
      <c r="J63" s="231"/>
      <c r="K63" s="241"/>
      <c r="L63" s="231"/>
      <c r="M63" s="231"/>
      <c r="N63" s="231"/>
      <c r="O63" s="231"/>
      <c r="P63" s="231"/>
      <c r="Q63" s="241"/>
      <c r="R63" s="241"/>
      <c r="S63" s="231"/>
    </row>
    <row r="64" spans="2:19">
      <c r="B64" s="231"/>
      <c r="C64" s="310" t="str">
        <f>S122</f>
        <v xml:space="preserve">       Apportionment Factor to Texas (Worksheet K, ln 12)</v>
      </c>
      <c r="D64" s="294"/>
      <c r="E64" s="328"/>
      <c r="F64" s="333">
        <f>R122</f>
        <v>0</v>
      </c>
      <c r="G64" s="394"/>
      <c r="H64" s="328"/>
      <c r="I64" s="240"/>
      <c r="J64" s="231"/>
      <c r="K64" s="241"/>
      <c r="L64" s="231"/>
      <c r="M64" s="231"/>
      <c r="N64" s="231"/>
      <c r="O64" s="231"/>
      <c r="P64" s="231"/>
      <c r="Q64" s="241"/>
      <c r="R64" s="241"/>
      <c r="S64" s="231"/>
    </row>
    <row r="65" spans="2:19">
      <c r="B65" s="231"/>
      <c r="C65" s="310" t="s">
        <v>29</v>
      </c>
      <c r="D65" s="294"/>
      <c r="E65" s="328"/>
      <c r="F65" s="331">
        <f>+F64*F62</f>
        <v>0</v>
      </c>
      <c r="G65" s="331"/>
      <c r="H65" s="328"/>
      <c r="I65" s="240"/>
      <c r="J65" s="231"/>
      <c r="K65" s="241"/>
      <c r="L65" s="231"/>
      <c r="M65" s="231"/>
      <c r="N65" s="231"/>
      <c r="O65" s="231"/>
      <c r="P65" s="231"/>
      <c r="Q65" s="241"/>
      <c r="R65" s="241"/>
      <c r="S65" s="231"/>
    </row>
    <row r="66" spans="2:19">
      <c r="B66" s="231"/>
      <c r="C66" s="310" t="str">
        <f>+'PSO.WS.F.BPU.ATRR.Projected'!C66</f>
        <v xml:space="preserve">       Taxable Percentage of Revenue (22%)</v>
      </c>
      <c r="D66" s="294"/>
      <c r="E66" s="328"/>
      <c r="F66" s="334">
        <f>+'PSO.WS.F.BPU.ATRR.Projected'!F66</f>
        <v>0.22</v>
      </c>
      <c r="G66" s="395"/>
      <c r="H66" s="328"/>
      <c r="I66" s="240"/>
      <c r="J66" s="231"/>
      <c r="K66" s="241"/>
      <c r="L66" s="231"/>
      <c r="M66" s="231"/>
      <c r="N66" s="231"/>
      <c r="O66" s="231"/>
      <c r="P66" s="231"/>
      <c r="Q66" s="241"/>
      <c r="R66" s="241"/>
      <c r="S66" s="231"/>
    </row>
    <row r="67" spans="2:19">
      <c r="B67" s="231"/>
      <c r="C67" s="310" t="s">
        <v>30</v>
      </c>
      <c r="D67" s="294"/>
      <c r="E67" s="328"/>
      <c r="F67" s="331">
        <f>+F65*F66</f>
        <v>0</v>
      </c>
      <c r="G67" s="331"/>
      <c r="H67" s="328"/>
      <c r="I67" s="240"/>
      <c r="J67" s="231"/>
      <c r="K67" s="241"/>
      <c r="L67" s="231"/>
      <c r="M67" s="231"/>
      <c r="N67" s="231"/>
      <c r="O67" s="231"/>
      <c r="P67" s="231"/>
      <c r="Q67" s="241"/>
      <c r="R67" s="241"/>
      <c r="S67" s="231"/>
    </row>
    <row r="68" spans="2:19">
      <c r="B68" s="231"/>
      <c r="C68" s="310" t="s">
        <v>31</v>
      </c>
      <c r="D68" s="294"/>
      <c r="E68" s="328"/>
      <c r="F68" s="334">
        <v>0.01</v>
      </c>
      <c r="G68" s="395"/>
      <c r="H68" s="328"/>
      <c r="I68" s="240"/>
      <c r="J68" s="231"/>
      <c r="K68" s="241"/>
      <c r="L68" s="231"/>
      <c r="M68" s="231"/>
      <c r="N68" s="231"/>
      <c r="O68" s="231"/>
      <c r="P68" s="231"/>
      <c r="Q68" s="241"/>
      <c r="R68" s="241"/>
      <c r="S68" s="231"/>
    </row>
    <row r="69" spans="2:19">
      <c r="B69" s="231"/>
      <c r="C69" s="310" t="s">
        <v>32</v>
      </c>
      <c r="D69" s="294"/>
      <c r="E69" s="328"/>
      <c r="F69" s="331">
        <f>+F67*F68</f>
        <v>0</v>
      </c>
      <c r="G69" s="331"/>
      <c r="H69" s="328"/>
      <c r="I69" s="240"/>
      <c r="J69" s="231"/>
      <c r="K69" s="241"/>
      <c r="L69" s="231"/>
      <c r="M69" s="231"/>
      <c r="N69" s="231"/>
      <c r="O69" s="231"/>
      <c r="P69" s="231"/>
      <c r="Q69" s="241"/>
      <c r="R69" s="241"/>
      <c r="S69" s="231"/>
    </row>
    <row r="70" spans="2:19">
      <c r="B70" s="231"/>
      <c r="C70" s="310" t="s">
        <v>33</v>
      </c>
      <c r="D70" s="294"/>
      <c r="E70" s="328"/>
      <c r="F70" s="335">
        <f>+ROUND((F69*F66*F64)/(1-F68)*F68,0)</f>
        <v>0</v>
      </c>
      <c r="G70" s="396"/>
      <c r="H70" s="328"/>
      <c r="I70" s="240"/>
      <c r="J70" s="231"/>
      <c r="K70" s="241"/>
      <c r="L70" s="231"/>
      <c r="M70" s="231"/>
      <c r="N70" s="231"/>
      <c r="O70" s="231"/>
      <c r="P70" s="231"/>
      <c r="Q70" s="241"/>
      <c r="R70" s="241"/>
      <c r="S70" s="231"/>
    </row>
    <row r="71" spans="2:19">
      <c r="B71" s="231"/>
      <c r="C71" s="310" t="s">
        <v>34</v>
      </c>
      <c r="D71" s="294"/>
      <c r="E71" s="328"/>
      <c r="F71" s="331">
        <f>+F69+F70</f>
        <v>0</v>
      </c>
      <c r="G71" s="331"/>
      <c r="H71" s="328"/>
      <c r="I71" s="240"/>
      <c r="J71" s="231"/>
      <c r="K71" s="241"/>
      <c r="L71" s="231"/>
      <c r="M71" s="231"/>
      <c r="N71" s="231"/>
      <c r="O71" s="231"/>
      <c r="P71" s="231"/>
      <c r="Q71" s="241"/>
      <c r="R71" s="241"/>
      <c r="S71" s="231"/>
    </row>
    <row r="72" spans="2:19">
      <c r="B72" s="231"/>
      <c r="C72" s="231"/>
      <c r="D72" s="239"/>
      <c r="E72" s="231"/>
      <c r="F72" s="231"/>
      <c r="G72" s="231"/>
      <c r="H72" s="231"/>
      <c r="I72" s="240"/>
      <c r="J72" s="231"/>
      <c r="K72" s="241"/>
      <c r="L72" s="231"/>
      <c r="M72" s="231"/>
      <c r="N72" s="231"/>
      <c r="O72" s="231"/>
      <c r="P72" s="231"/>
      <c r="Q72" s="241"/>
      <c r="R72" s="241"/>
      <c r="S72" s="231"/>
    </row>
    <row r="73" spans="2:19" ht="15.75">
      <c r="B73" s="231"/>
      <c r="C73" s="243" t="str">
        <f>"D.   Determine FCR with hypothetical "&amp;F13&amp;" basis point ROE increase."</f>
        <v>D.   Determine FCR with hypothetical 0 basis point ROE increase.</v>
      </c>
      <c r="D73" s="239"/>
      <c r="E73" s="231"/>
      <c r="F73" s="231"/>
      <c r="G73" s="231"/>
      <c r="H73" s="231"/>
      <c r="I73" s="215"/>
      <c r="J73" s="231"/>
      <c r="K73" s="241"/>
      <c r="L73" s="231"/>
      <c r="M73" s="231"/>
      <c r="N73" s="231"/>
      <c r="O73" s="231"/>
      <c r="P73" s="231"/>
      <c r="Q73" s="241"/>
      <c r="R73" s="241"/>
      <c r="S73" s="231"/>
    </row>
    <row r="74" spans="2:19">
      <c r="B74" s="231"/>
      <c r="C74" s="231"/>
      <c r="D74" s="239"/>
      <c r="E74" s="231"/>
      <c r="F74" s="231"/>
      <c r="G74" s="231"/>
      <c r="H74" s="231"/>
      <c r="I74" s="240"/>
      <c r="J74" s="231"/>
      <c r="K74" s="241"/>
      <c r="L74" s="231"/>
      <c r="M74" s="231"/>
      <c r="N74" s="231"/>
      <c r="O74" s="231"/>
      <c r="P74" s="231"/>
      <c r="Q74" s="241"/>
      <c r="R74" s="241"/>
      <c r="S74" s="231"/>
    </row>
    <row r="75" spans="2:19">
      <c r="B75" s="231"/>
      <c r="C75" s="304" t="str">
        <f>S123</f>
        <v xml:space="preserve">   Net Transmission Plant  (True-Up TCOS, ln 39)</v>
      </c>
      <c r="D75" s="239"/>
      <c r="E75" s="231"/>
      <c r="F75" s="295">
        <f>R123</f>
        <v>696124032.64692307</v>
      </c>
      <c r="G75" s="295"/>
      <c r="I75" s="215"/>
      <c r="J75" s="231"/>
      <c r="K75" s="241"/>
      <c r="L75" s="231"/>
      <c r="M75" s="231"/>
      <c r="N75" s="231"/>
      <c r="O75" s="231"/>
      <c r="P75" s="231"/>
      <c r="Q75" s="241"/>
      <c r="R75" s="241"/>
      <c r="S75" s="231"/>
    </row>
    <row r="76" spans="2:19" ht="15">
      <c r="B76" s="231"/>
      <c r="C76" s="310" t="str">
        <f>"   Net Revenue Requirement, with "&amp;F13&amp;" Basis Point ROE increase"</f>
        <v xml:space="preserve">   Net Revenue Requirement, with 0 Basis Point ROE increase</v>
      </c>
      <c r="D76" s="239"/>
      <c r="E76" s="231"/>
      <c r="F76" s="397">
        <f>+F57</f>
        <v>101516645.54722711</v>
      </c>
      <c r="G76" s="397"/>
      <c r="I76" s="215"/>
      <c r="J76" s="231"/>
      <c r="K76" s="241"/>
      <c r="L76" s="231"/>
      <c r="M76" s="231"/>
      <c r="N76" s="231"/>
      <c r="O76" s="231"/>
      <c r="P76" s="231"/>
      <c r="Q76" s="241"/>
      <c r="R76" s="241"/>
      <c r="S76" s="231"/>
    </row>
    <row r="77" spans="2:19">
      <c r="B77" s="231"/>
      <c r="C77" s="310" t="str">
        <f>"   FCR with "&amp;F13&amp;" Basis Point increase in ROE"</f>
        <v xml:space="preserve">   FCR with 0 Basis Point increase in ROE</v>
      </c>
      <c r="D77" s="239"/>
      <c r="E77" s="231"/>
      <c r="F77" s="337">
        <f>IF(F75=0,0,F76/F75)</f>
        <v>0.14583126107745911</v>
      </c>
      <c r="G77" s="337"/>
      <c r="I77" s="215"/>
      <c r="J77" s="231"/>
      <c r="K77" s="241"/>
      <c r="L77" s="231"/>
      <c r="M77" s="231"/>
      <c r="N77" s="231"/>
      <c r="O77" s="231"/>
      <c r="P77" s="231"/>
      <c r="Q77" s="241"/>
      <c r="R77" s="241"/>
      <c r="S77" s="231"/>
    </row>
    <row r="78" spans="2:19">
      <c r="B78" s="231"/>
      <c r="D78" s="239"/>
      <c r="E78" s="231"/>
      <c r="F78" s="328"/>
      <c r="G78" s="328"/>
      <c r="H78" s="398"/>
      <c r="I78" s="215"/>
      <c r="J78" s="231"/>
      <c r="K78" s="241"/>
      <c r="L78" s="231"/>
      <c r="M78" s="231"/>
      <c r="N78" s="231"/>
      <c r="O78" s="231"/>
      <c r="P78" s="231"/>
      <c r="Q78" s="241"/>
      <c r="R78" s="241"/>
      <c r="S78" s="231"/>
    </row>
    <row r="79" spans="2:19">
      <c r="B79" s="231"/>
      <c r="C79" s="310" t="str">
        <f>"   Net Rev. Req, w / "&amp;F13&amp;" Basis Point ROE increase, less Dep."</f>
        <v xml:space="preserve">   Net Rev. Req, w / 0 Basis Point ROE increase, less Dep.</v>
      </c>
      <c r="D79" s="239"/>
      <c r="E79" s="231"/>
      <c r="F79" s="295">
        <f>+F59</f>
        <v>79213897.971219286</v>
      </c>
      <c r="G79" s="295"/>
      <c r="I79" s="215"/>
      <c r="J79" s="231"/>
      <c r="K79" s="241"/>
      <c r="L79" s="231"/>
      <c r="M79" s="231"/>
      <c r="N79" s="231"/>
      <c r="O79" s="231"/>
      <c r="P79" s="231"/>
      <c r="Q79" s="241"/>
      <c r="R79" s="241"/>
      <c r="S79" s="231"/>
    </row>
    <row r="80" spans="2:19">
      <c r="B80" s="231"/>
      <c r="C80" s="310" t="str">
        <f>"   FCR with "&amp;F13&amp;" Basis Point ROE increase, less Depreciation"</f>
        <v xml:space="preserve">   FCR with 0 Basis Point ROE increase, less Depreciation</v>
      </c>
      <c r="D80" s="239"/>
      <c r="E80" s="231"/>
      <c r="F80" s="337">
        <f>IF(F75=0,0,F79/F75)</f>
        <v>0.11379279303146383</v>
      </c>
      <c r="G80" s="337"/>
      <c r="H80" s="244"/>
      <c r="I80" s="215"/>
      <c r="J80" s="231"/>
      <c r="K80" s="241"/>
      <c r="L80" s="231"/>
      <c r="M80" s="231"/>
      <c r="N80" s="231"/>
      <c r="O80" s="231"/>
      <c r="P80" s="231"/>
      <c r="Q80" s="241"/>
      <c r="R80" s="241"/>
      <c r="S80" s="231"/>
    </row>
    <row r="81" spans="2:19">
      <c r="B81" s="231"/>
      <c r="C81" s="304" t="str">
        <f>S124</f>
        <v xml:space="preserve">   FCR less Depreciation  (True-Up TCOS, ln 12)</v>
      </c>
      <c r="D81" s="239"/>
      <c r="E81" s="231"/>
      <c r="F81" s="338">
        <f>R124</f>
        <v>0.11379279303146381</v>
      </c>
      <c r="G81" s="338"/>
      <c r="H81" s="399"/>
      <c r="I81" s="215"/>
      <c r="J81" s="231"/>
      <c r="K81" s="241"/>
      <c r="L81" s="231"/>
      <c r="M81" s="231"/>
      <c r="N81" s="231"/>
      <c r="O81" s="231"/>
      <c r="P81" s="231"/>
      <c r="Q81" s="241"/>
      <c r="R81" s="241"/>
      <c r="S81" s="231"/>
    </row>
    <row r="82" spans="2:19">
      <c r="B82" s="231"/>
      <c r="C82" s="310" t="str">
        <f>"   Incremental FCR with "&amp;F13&amp;" Basis Point ROE increase, less Depreciation"</f>
        <v xml:space="preserve">   Incremental FCR with 0 Basis Point ROE increase, less Depreciation</v>
      </c>
      <c r="D82" s="239"/>
      <c r="E82" s="231"/>
      <c r="F82" s="337">
        <f>F80-F81</f>
        <v>0</v>
      </c>
      <c r="G82" s="337"/>
      <c r="I82" s="215"/>
      <c r="J82" s="231"/>
      <c r="K82" s="241"/>
      <c r="L82" s="231"/>
      <c r="M82" s="231"/>
      <c r="N82" s="231"/>
      <c r="O82" s="231"/>
      <c r="P82" s="231"/>
      <c r="Q82" s="241"/>
      <c r="R82" s="241"/>
      <c r="S82" s="231"/>
    </row>
    <row r="83" spans="2:19">
      <c r="B83" s="231"/>
      <c r="C83" s="310"/>
      <c r="D83" s="239"/>
      <c r="E83" s="231"/>
      <c r="F83" s="337"/>
      <c r="G83" s="337"/>
      <c r="H83" s="231"/>
      <c r="I83" s="240"/>
      <c r="J83" s="231"/>
      <c r="K83" s="241"/>
      <c r="L83" s="231"/>
      <c r="M83" s="231"/>
      <c r="N83" s="231"/>
      <c r="O83" s="231"/>
      <c r="P83" s="231"/>
      <c r="Q83" s="241"/>
      <c r="R83" s="241"/>
      <c r="S83" s="231"/>
    </row>
    <row r="84" spans="2:19" ht="18.75">
      <c r="B84" s="301" t="s">
        <v>35</v>
      </c>
      <c r="C84" s="302" t="s">
        <v>36</v>
      </c>
      <c r="D84" s="239"/>
      <c r="E84" s="231"/>
      <c r="F84" s="337"/>
      <c r="G84" s="337"/>
      <c r="H84" s="231"/>
      <c r="I84" s="240"/>
      <c r="J84" s="231"/>
      <c r="K84" s="241"/>
      <c r="L84" s="231"/>
      <c r="M84" s="231"/>
      <c r="N84" s="231"/>
      <c r="O84" s="231"/>
      <c r="P84" s="231"/>
      <c r="Q84" s="241"/>
      <c r="R84" s="241"/>
      <c r="S84" s="231"/>
    </row>
    <row r="85" spans="2:19" ht="12.75" customHeight="1">
      <c r="B85" s="301"/>
      <c r="C85" s="302"/>
      <c r="D85" s="239"/>
      <c r="E85" s="231"/>
      <c r="F85" s="337"/>
      <c r="G85" s="337"/>
      <c r="H85" s="231"/>
      <c r="I85" s="240"/>
      <c r="J85" s="231"/>
      <c r="K85" s="241"/>
      <c r="L85" s="231"/>
      <c r="M85" s="231"/>
      <c r="N85" s="231"/>
      <c r="O85" s="231"/>
      <c r="P85" s="231"/>
      <c r="Q85" s="241"/>
      <c r="R85" s="241"/>
      <c r="S85" s="231"/>
    </row>
    <row r="86" spans="2:19" ht="12.75" customHeight="1">
      <c r="B86" s="301"/>
      <c r="C86" s="310" t="s">
        <v>37</v>
      </c>
      <c r="D86" s="239"/>
      <c r="F86" s="332">
        <f>R125</f>
        <v>1069907872</v>
      </c>
      <c r="G86" s="231" t="s">
        <v>283</v>
      </c>
      <c r="I86" s="240"/>
      <c r="J86" s="231"/>
      <c r="K86" s="241"/>
      <c r="L86" s="231"/>
      <c r="M86" s="231"/>
      <c r="N86" s="231"/>
      <c r="O86" s="231"/>
      <c r="P86" s="231"/>
      <c r="Q86" s="241"/>
      <c r="R86" s="241"/>
      <c r="S86" s="231"/>
    </row>
    <row r="87" spans="2:19" ht="12.75" customHeight="1">
      <c r="B87" s="301"/>
      <c r="C87" s="310" t="s">
        <v>38</v>
      </c>
      <c r="D87" s="239"/>
      <c r="F87" s="339">
        <f>R126</f>
        <v>1107616715</v>
      </c>
      <c r="G87" s="231" t="s">
        <v>283</v>
      </c>
      <c r="I87" s="240"/>
      <c r="J87" s="231"/>
      <c r="K87" s="241"/>
      <c r="L87" s="231"/>
      <c r="M87" s="231"/>
      <c r="N87" s="231"/>
      <c r="O87" s="231"/>
      <c r="P87" s="231"/>
      <c r="Q87" s="241"/>
      <c r="R87" s="241"/>
      <c r="S87" s="231"/>
    </row>
    <row r="88" spans="2:19" ht="12.75" customHeight="1">
      <c r="B88" s="301"/>
      <c r="C88" s="310"/>
      <c r="D88" s="239"/>
      <c r="F88" s="240">
        <f>+F87+F86</f>
        <v>2177524587</v>
      </c>
      <c r="G88" s="240"/>
      <c r="H88" s="231"/>
      <c r="I88" s="240"/>
      <c r="J88" s="231"/>
      <c r="K88" s="241"/>
      <c r="L88" s="231"/>
      <c r="M88" s="231"/>
      <c r="N88" s="231"/>
      <c r="O88" s="231"/>
      <c r="P88" s="231"/>
      <c r="Q88" s="241"/>
      <c r="R88" s="241"/>
      <c r="S88" s="231"/>
    </row>
    <row r="89" spans="2:19">
      <c r="B89" s="231"/>
      <c r="C89" s="310" t="str">
        <f>+S127</f>
        <v>Transmission Plant Average Balance for 2018</v>
      </c>
      <c r="D89" s="294"/>
      <c r="E89" s="155"/>
      <c r="F89" s="321">
        <f>+F88/2</f>
        <v>1088762293.5</v>
      </c>
      <c r="G89" s="321"/>
      <c r="I89" s="240"/>
      <c r="J89" s="231"/>
      <c r="K89" s="241"/>
      <c r="L89" s="231"/>
      <c r="M89" s="231"/>
      <c r="N89" s="231"/>
      <c r="O89" s="231"/>
      <c r="P89" s="231"/>
      <c r="Q89" s="241"/>
      <c r="R89" s="241"/>
      <c r="S89" s="231"/>
    </row>
    <row r="90" spans="2:19">
      <c r="B90" s="231"/>
      <c r="C90" s="246" t="str">
        <f>S128</f>
        <v>Annual Depreciation Expense  (True-Up TCOS, ln 82)</v>
      </c>
      <c r="D90" s="294"/>
      <c r="E90" s="328"/>
      <c r="F90" s="321">
        <f>R128</f>
        <v>26836591</v>
      </c>
      <c r="G90" s="321"/>
      <c r="I90" s="240"/>
      <c r="J90" s="231"/>
      <c r="K90" s="241"/>
      <c r="L90" s="231"/>
      <c r="M90" s="231"/>
      <c r="N90" s="231"/>
      <c r="O90" s="231"/>
      <c r="P90" s="231"/>
      <c r="Q90" s="241"/>
      <c r="R90" s="241"/>
      <c r="S90" s="231"/>
    </row>
    <row r="91" spans="2:19">
      <c r="B91" s="231"/>
      <c r="C91" s="310" t="s">
        <v>39</v>
      </c>
      <c r="D91" s="239"/>
      <c r="E91" s="231"/>
      <c r="F91" s="337">
        <f>IF(F89=0,0,F90/F89)</f>
        <v>2.4648714563515511E-2</v>
      </c>
      <c r="G91" s="337"/>
      <c r="H91" s="231"/>
      <c r="I91" s="341"/>
      <c r="J91" s="231"/>
      <c r="K91" s="241"/>
      <c r="L91" s="231"/>
      <c r="M91" s="231"/>
      <c r="N91" s="231"/>
      <c r="O91" s="231"/>
      <c r="P91" s="231"/>
      <c r="Q91" s="241"/>
      <c r="R91" s="241"/>
      <c r="S91" s="231"/>
    </row>
    <row r="92" spans="2:19">
      <c r="B92" s="231"/>
      <c r="C92" s="310" t="s">
        <v>40</v>
      </c>
      <c r="D92" s="239"/>
      <c r="E92" s="231"/>
      <c r="F92" s="342">
        <f>IF(F91=0,0,1/F91)</f>
        <v>40.570066947027662</v>
      </c>
      <c r="G92" s="342"/>
      <c r="H92" s="231"/>
      <c r="I92" s="240"/>
      <c r="J92" s="231"/>
      <c r="K92" s="241"/>
      <c r="L92" s="231"/>
      <c r="M92" s="231"/>
      <c r="N92" s="231"/>
      <c r="O92" s="231"/>
      <c r="P92" s="231"/>
      <c r="Q92" s="241"/>
      <c r="R92" s="241"/>
      <c r="S92" s="231"/>
    </row>
    <row r="93" spans="2:19">
      <c r="B93" s="231"/>
      <c r="C93" s="310" t="s">
        <v>41</v>
      </c>
      <c r="D93" s="239"/>
      <c r="E93" s="231"/>
      <c r="F93" s="343">
        <f>ROUND(F92,0)</f>
        <v>41</v>
      </c>
      <c r="G93" s="343"/>
      <c r="H93" s="231"/>
      <c r="I93" s="240"/>
      <c r="J93" s="231"/>
      <c r="K93" s="241"/>
      <c r="L93" s="231"/>
      <c r="M93" s="231"/>
      <c r="N93" s="231"/>
      <c r="O93" s="231"/>
      <c r="P93" s="231"/>
      <c r="Q93" s="241"/>
      <c r="R93" s="241"/>
      <c r="S93" s="231"/>
    </row>
    <row r="94" spans="2:19">
      <c r="B94" s="231"/>
      <c r="C94" s="310"/>
      <c r="D94" s="239"/>
      <c r="E94" s="231"/>
      <c r="F94" s="343"/>
      <c r="G94" s="343"/>
      <c r="H94" s="231"/>
      <c r="I94" s="240"/>
      <c r="J94" s="231"/>
      <c r="K94" s="241"/>
      <c r="L94" s="231"/>
      <c r="M94" s="231"/>
      <c r="N94" s="231"/>
      <c r="O94" s="231"/>
      <c r="P94" s="231"/>
      <c r="Q94" s="241"/>
      <c r="R94" s="241"/>
      <c r="S94" s="231"/>
    </row>
    <row r="95" spans="2:19">
      <c r="B95" s="231"/>
      <c r="C95" s="310"/>
      <c r="D95" s="239"/>
      <c r="E95" s="231"/>
      <c r="F95" s="343"/>
      <c r="G95" s="343"/>
      <c r="H95" s="231"/>
      <c r="I95" s="240"/>
      <c r="J95" s="231"/>
      <c r="K95" s="241"/>
      <c r="L95" s="231"/>
      <c r="M95" s="231"/>
      <c r="N95" s="231"/>
      <c r="O95" s="231"/>
      <c r="P95" s="231"/>
      <c r="Q95" s="241"/>
      <c r="R95" s="241"/>
      <c r="S95" s="231"/>
    </row>
    <row r="96" spans="2:19">
      <c r="B96" s="231"/>
      <c r="C96" s="310"/>
      <c r="D96" s="239"/>
      <c r="E96" s="231"/>
      <c r="F96" s="343"/>
      <c r="G96" s="343"/>
      <c r="H96" s="231"/>
      <c r="I96" s="240"/>
      <c r="J96" s="231"/>
      <c r="K96" s="241"/>
      <c r="L96" s="231"/>
      <c r="M96" s="231"/>
      <c r="N96" s="231"/>
      <c r="O96" s="231"/>
      <c r="P96" s="231"/>
      <c r="Q96" s="241"/>
      <c r="R96" s="241"/>
      <c r="S96" s="231"/>
    </row>
    <row r="97" spans="3:19">
      <c r="C97" s="231"/>
      <c r="D97" s="239"/>
      <c r="E97" s="231"/>
      <c r="F97" s="231"/>
      <c r="G97" s="231"/>
      <c r="H97" s="231"/>
      <c r="I97" s="240"/>
      <c r="J97" s="231"/>
      <c r="K97" s="241"/>
      <c r="L97" s="231"/>
      <c r="M97" s="231"/>
      <c r="N97" s="231"/>
      <c r="O97" s="231"/>
      <c r="P97" s="231"/>
      <c r="Q97" s="241"/>
      <c r="R97" s="348" t="s">
        <v>126</v>
      </c>
      <c r="S97" s="232" t="s">
        <v>132</v>
      </c>
    </row>
    <row r="98" spans="3:19">
      <c r="C98" s="231"/>
      <c r="D98" s="239"/>
      <c r="E98" s="231"/>
      <c r="F98" s="231"/>
      <c r="G98" s="231"/>
      <c r="H98" s="231"/>
      <c r="I98" s="240"/>
      <c r="J98" s="231"/>
      <c r="K98" s="241"/>
      <c r="L98" s="231"/>
      <c r="M98" s="231"/>
      <c r="N98" s="231"/>
      <c r="O98" s="231"/>
      <c r="P98" s="231"/>
      <c r="Q98" s="241"/>
    </row>
    <row r="99" spans="3:19">
      <c r="C99" s="238" t="s">
        <v>122</v>
      </c>
      <c r="J99" s="194"/>
      <c r="L99" s="238" t="s">
        <v>121</v>
      </c>
      <c r="N99" s="231"/>
      <c r="O99" s="231"/>
      <c r="P99" s="231"/>
      <c r="Q99" s="241"/>
    </row>
    <row r="100" spans="3:19">
      <c r="C100" s="231"/>
      <c r="D100" s="239"/>
      <c r="E100" s="231"/>
      <c r="F100" s="231"/>
      <c r="G100" s="231"/>
      <c r="H100" s="231"/>
      <c r="I100" s="240"/>
      <c r="J100" s="231"/>
      <c r="K100" s="241"/>
      <c r="L100" s="231"/>
      <c r="M100" s="231"/>
      <c r="N100" s="231"/>
      <c r="O100" s="231"/>
      <c r="P100" s="231"/>
      <c r="Q100" s="241"/>
      <c r="S100" s="232" t="s">
        <v>119</v>
      </c>
    </row>
    <row r="101" spans="3:19">
      <c r="C101" s="231"/>
      <c r="D101" s="239"/>
      <c r="E101" s="231"/>
      <c r="F101" s="231"/>
      <c r="G101" s="231"/>
      <c r="H101" s="231"/>
      <c r="I101" s="240"/>
      <c r="J101" s="231"/>
      <c r="K101" s="241"/>
      <c r="L101" s="231"/>
      <c r="M101" s="231"/>
      <c r="N101" s="231"/>
      <c r="O101" s="231"/>
      <c r="P101" s="231"/>
      <c r="Q101" s="241"/>
      <c r="R101" s="348" t="s">
        <v>115</v>
      </c>
      <c r="S101" s="202" t="s">
        <v>135</v>
      </c>
    </row>
    <row r="102" spans="3:19" ht="13.5" thickBot="1">
      <c r="C102" s="231"/>
      <c r="D102" s="239"/>
      <c r="E102" s="231"/>
      <c r="F102" s="231"/>
      <c r="G102" s="231"/>
      <c r="H102" s="231"/>
      <c r="I102" s="240"/>
      <c r="J102" s="231"/>
      <c r="K102" s="241"/>
      <c r="L102" s="231"/>
      <c r="M102" s="231"/>
      <c r="N102" s="231"/>
      <c r="O102" s="231"/>
      <c r="P102" s="231"/>
      <c r="Q102" s="241"/>
      <c r="R102" s="349" t="s">
        <v>227</v>
      </c>
    </row>
    <row r="103" spans="3:19">
      <c r="C103" s="231"/>
      <c r="D103" s="239"/>
      <c r="E103" s="231"/>
      <c r="F103" s="231"/>
      <c r="G103" s="231"/>
      <c r="H103" s="231"/>
      <c r="I103" s="240"/>
      <c r="J103" s="231"/>
      <c r="K103" s="241"/>
      <c r="L103" s="231"/>
      <c r="M103" s="231"/>
      <c r="N103" s="231"/>
      <c r="O103" s="231"/>
      <c r="P103" s="231"/>
      <c r="Q103" s="241"/>
      <c r="R103" s="400" t="s">
        <v>212</v>
      </c>
      <c r="S103" s="401" t="s">
        <v>143</v>
      </c>
    </row>
    <row r="104" spans="3:19">
      <c r="C104" s="231"/>
      <c r="D104" s="239"/>
      <c r="E104" s="231"/>
      <c r="F104" s="231"/>
      <c r="G104" s="231"/>
      <c r="H104" s="231"/>
      <c r="I104" s="240"/>
      <c r="J104" s="231"/>
      <c r="K104" s="241"/>
      <c r="L104" s="231"/>
      <c r="M104" s="231"/>
      <c r="N104" s="231"/>
      <c r="O104" s="231"/>
      <c r="P104" s="231"/>
      <c r="Q104" s="241"/>
      <c r="R104" s="402">
        <v>2022</v>
      </c>
      <c r="S104" s="271" t="s">
        <v>94</v>
      </c>
    </row>
    <row r="105" spans="3:19">
      <c r="C105" s="231"/>
      <c r="D105" s="239"/>
      <c r="E105" s="231"/>
      <c r="F105" s="231"/>
      <c r="G105" s="231"/>
      <c r="H105" s="231"/>
      <c r="I105" s="240"/>
      <c r="J105" s="231"/>
      <c r="K105" s="241"/>
      <c r="L105" s="231"/>
      <c r="M105" s="231"/>
      <c r="N105" s="231"/>
      <c r="O105" s="231"/>
      <c r="P105" s="231"/>
      <c r="Q105" s="241"/>
      <c r="R105" s="403">
        <v>0.105</v>
      </c>
      <c r="S105" s="353" t="s">
        <v>311</v>
      </c>
    </row>
    <row r="106" spans="3:19">
      <c r="C106" s="231"/>
      <c r="D106" s="239"/>
      <c r="E106" s="231"/>
      <c r="F106" s="231"/>
      <c r="G106" s="231"/>
      <c r="H106" s="231"/>
      <c r="I106" s="240"/>
      <c r="J106" s="231"/>
      <c r="K106" s="241"/>
      <c r="L106" s="231"/>
      <c r="M106" s="231"/>
      <c r="N106" s="231"/>
      <c r="O106" s="231"/>
      <c r="P106" s="231"/>
      <c r="Q106" s="241"/>
      <c r="R106" s="404">
        <v>0</v>
      </c>
      <c r="S106" s="353" t="s">
        <v>1</v>
      </c>
    </row>
    <row r="107" spans="3:19">
      <c r="C107" s="231"/>
      <c r="D107" s="239"/>
      <c r="E107" s="231"/>
      <c r="F107" s="231"/>
      <c r="G107" s="231"/>
      <c r="H107" s="231"/>
      <c r="I107" s="240"/>
      <c r="J107" s="231"/>
      <c r="K107" s="241"/>
      <c r="L107" s="231"/>
      <c r="M107" s="231"/>
      <c r="N107" s="231"/>
      <c r="O107" s="231"/>
      <c r="P107" s="231"/>
      <c r="Q107" s="241"/>
      <c r="R107" s="403">
        <v>0.45612323681704114</v>
      </c>
      <c r="S107" s="356" t="s">
        <v>109</v>
      </c>
    </row>
    <row r="108" spans="3:19">
      <c r="C108" s="231"/>
      <c r="D108" s="239"/>
      <c r="E108" s="231"/>
      <c r="F108" s="231"/>
      <c r="G108" s="231"/>
      <c r="H108" s="231"/>
      <c r="I108" s="240"/>
      <c r="J108" s="231"/>
      <c r="K108" s="241"/>
      <c r="L108" s="231"/>
      <c r="M108" s="231"/>
      <c r="N108" s="231"/>
      <c r="O108" s="231"/>
      <c r="P108" s="231"/>
      <c r="Q108" s="241"/>
      <c r="R108" s="405">
        <v>3.4943152329142656E-2</v>
      </c>
      <c r="S108" s="356" t="s">
        <v>110</v>
      </c>
    </row>
    <row r="109" spans="3:19">
      <c r="C109" s="231"/>
      <c r="D109" s="239"/>
      <c r="E109" s="231"/>
      <c r="F109" s="231"/>
      <c r="G109" s="231"/>
      <c r="H109" s="231"/>
      <c r="I109" s="240"/>
      <c r="J109" s="231"/>
      <c r="K109" s="241"/>
      <c r="L109" s="231"/>
      <c r="M109" s="231"/>
      <c r="N109" s="231"/>
      <c r="O109" s="231"/>
      <c r="P109" s="231"/>
      <c r="Q109" s="241"/>
      <c r="R109" s="403">
        <v>0</v>
      </c>
      <c r="S109" s="356" t="s">
        <v>111</v>
      </c>
    </row>
    <row r="110" spans="3:19">
      <c r="C110" s="231"/>
      <c r="D110" s="239"/>
      <c r="E110" s="231"/>
      <c r="F110" s="231"/>
      <c r="G110" s="231"/>
      <c r="H110" s="231"/>
      <c r="I110" s="240"/>
      <c r="J110" s="231"/>
      <c r="K110" s="241"/>
      <c r="L110" s="231"/>
      <c r="M110" s="231"/>
      <c r="N110" s="231"/>
      <c r="O110" s="231"/>
      <c r="P110" s="231"/>
      <c r="Q110" s="241"/>
      <c r="R110" s="405">
        <v>0</v>
      </c>
      <c r="S110" s="356" t="s">
        <v>112</v>
      </c>
    </row>
    <row r="111" spans="3:19">
      <c r="C111" s="231"/>
      <c r="D111" s="239"/>
      <c r="E111" s="231"/>
      <c r="F111" s="231"/>
      <c r="G111" s="231"/>
      <c r="H111" s="231"/>
      <c r="I111" s="240"/>
      <c r="J111" s="231"/>
      <c r="K111" s="241"/>
      <c r="L111" s="231"/>
      <c r="M111" s="231"/>
      <c r="N111" s="231"/>
      <c r="O111" s="231"/>
      <c r="P111" s="231"/>
      <c r="Q111" s="241"/>
      <c r="R111" s="403">
        <v>0.54387676318295886</v>
      </c>
      <c r="S111" s="357" t="s">
        <v>113</v>
      </c>
    </row>
    <row r="112" spans="3:19">
      <c r="C112" s="231"/>
      <c r="D112" s="239"/>
      <c r="E112" s="231"/>
      <c r="F112" s="231"/>
      <c r="G112" s="231"/>
      <c r="H112" s="231"/>
      <c r="I112" s="240"/>
      <c r="J112" s="231"/>
      <c r="K112" s="241"/>
      <c r="L112" s="231"/>
      <c r="M112" s="231"/>
      <c r="N112" s="231"/>
      <c r="O112" s="231"/>
      <c r="P112" s="231"/>
      <c r="Q112" s="241"/>
      <c r="R112" s="358">
        <v>576614540.62033641</v>
      </c>
      <c r="S112" s="406" t="s">
        <v>232</v>
      </c>
    </row>
    <row r="113" spans="3:19">
      <c r="C113" s="231"/>
      <c r="D113" s="239"/>
      <c r="E113" s="231"/>
      <c r="F113" s="231"/>
      <c r="G113" s="231"/>
      <c r="H113" s="231"/>
      <c r="I113" s="240"/>
      <c r="J113" s="231"/>
      <c r="K113" s="241"/>
      <c r="L113" s="231"/>
      <c r="M113" s="231"/>
      <c r="N113" s="231"/>
      <c r="O113" s="231"/>
      <c r="P113" s="231"/>
      <c r="Q113" s="241"/>
      <c r="R113" s="360">
        <v>0.25321299999999991</v>
      </c>
      <c r="S113" s="407" t="s">
        <v>312</v>
      </c>
    </row>
    <row r="114" spans="3:19">
      <c r="C114" s="231"/>
      <c r="D114" s="239"/>
      <c r="E114" s="231"/>
      <c r="F114" s="231"/>
      <c r="G114" s="231"/>
      <c r="H114" s="231"/>
      <c r="I114" s="240"/>
      <c r="J114" s="231"/>
      <c r="K114" s="241"/>
      <c r="L114" s="231"/>
      <c r="M114" s="231"/>
      <c r="N114" s="231"/>
      <c r="O114" s="231"/>
      <c r="P114" s="231"/>
      <c r="Q114" s="241"/>
      <c r="R114" s="358">
        <v>-397904.12505828106</v>
      </c>
      <c r="S114" s="407" t="s">
        <v>313</v>
      </c>
    </row>
    <row r="115" spans="3:19">
      <c r="C115" s="231"/>
      <c r="D115" s="239"/>
      <c r="E115" s="231"/>
      <c r="F115" s="231"/>
      <c r="G115" s="231"/>
      <c r="H115" s="231"/>
      <c r="I115" s="240"/>
      <c r="J115" s="231"/>
      <c r="K115" s="241"/>
      <c r="L115" s="231"/>
      <c r="M115" s="231"/>
      <c r="N115" s="231"/>
      <c r="O115" s="231"/>
      <c r="P115" s="231"/>
      <c r="Q115" s="241"/>
      <c r="R115" s="358">
        <v>-4796610.6158784227</v>
      </c>
      <c r="S115" s="408" t="s">
        <v>324</v>
      </c>
    </row>
    <row r="116" spans="3:19">
      <c r="C116" s="231"/>
      <c r="D116" s="239"/>
      <c r="E116" s="231"/>
      <c r="F116" s="231"/>
      <c r="G116" s="231"/>
      <c r="H116" s="231"/>
      <c r="I116" s="240"/>
      <c r="J116" s="231"/>
      <c r="K116" s="241"/>
      <c r="L116" s="231"/>
      <c r="M116" s="231"/>
      <c r="N116" s="231"/>
      <c r="O116" s="231"/>
      <c r="P116" s="231"/>
      <c r="Q116" s="241"/>
      <c r="R116" s="358">
        <v>72099.192942565947</v>
      </c>
      <c r="S116" s="408" t="s">
        <v>325</v>
      </c>
    </row>
    <row r="117" spans="3:19">
      <c r="C117" s="231"/>
      <c r="D117" s="239"/>
      <c r="E117" s="231"/>
      <c r="F117" s="231"/>
      <c r="G117" s="231"/>
      <c r="H117" s="231"/>
      <c r="I117" s="240"/>
      <c r="J117" s="231"/>
      <c r="K117" s="241"/>
      <c r="L117" s="231"/>
      <c r="M117" s="231"/>
      <c r="N117" s="231"/>
      <c r="O117" s="231"/>
      <c r="P117" s="231"/>
      <c r="Q117" s="241"/>
      <c r="R117" s="358">
        <v>101516645.5472271</v>
      </c>
      <c r="S117" s="407" t="s">
        <v>314</v>
      </c>
    </row>
    <row r="118" spans="3:19">
      <c r="C118" s="231"/>
      <c r="D118" s="239"/>
      <c r="E118" s="231"/>
      <c r="F118" s="231"/>
      <c r="G118" s="231"/>
      <c r="H118" s="231"/>
      <c r="I118" s="240"/>
      <c r="J118" s="231"/>
      <c r="K118" s="241"/>
      <c r="L118" s="231"/>
      <c r="M118" s="231"/>
      <c r="N118" s="231"/>
      <c r="O118" s="231"/>
      <c r="P118" s="231"/>
      <c r="Q118" s="241"/>
      <c r="R118" s="358">
        <v>42119065.066796266</v>
      </c>
      <c r="S118" s="407" t="s">
        <v>315</v>
      </c>
    </row>
    <row r="119" spans="3:19">
      <c r="C119" s="231"/>
      <c r="D119" s="239"/>
      <c r="E119" s="231"/>
      <c r="F119" s="231"/>
      <c r="G119" s="231"/>
      <c r="H119" s="231"/>
      <c r="I119" s="240"/>
      <c r="J119" s="231"/>
      <c r="K119" s="241"/>
      <c r="L119" s="231"/>
      <c r="M119" s="231"/>
      <c r="N119" s="231"/>
      <c r="O119" s="231"/>
      <c r="P119" s="231"/>
      <c r="Q119" s="241"/>
      <c r="R119" s="358">
        <v>6042736.5251513943</v>
      </c>
      <c r="S119" s="407" t="s">
        <v>316</v>
      </c>
    </row>
    <row r="120" spans="3:19">
      <c r="C120" s="231"/>
      <c r="D120" s="239"/>
      <c r="E120" s="231"/>
      <c r="F120" s="231"/>
      <c r="G120" s="231"/>
      <c r="H120" s="231"/>
      <c r="I120" s="240"/>
      <c r="J120" s="231"/>
      <c r="K120" s="241"/>
      <c r="L120" s="231"/>
      <c r="M120" s="231"/>
      <c r="N120" s="231"/>
      <c r="O120" s="231"/>
      <c r="P120" s="231"/>
      <c r="Q120" s="241"/>
      <c r="R120" s="358">
        <v>0</v>
      </c>
      <c r="S120" s="407" t="s">
        <v>317</v>
      </c>
    </row>
    <row r="121" spans="3:19">
      <c r="C121" s="231"/>
      <c r="D121" s="239"/>
      <c r="E121" s="231"/>
      <c r="F121" s="231"/>
      <c r="G121" s="231"/>
      <c r="H121" s="231"/>
      <c r="I121" s="240"/>
      <c r="J121" s="231"/>
      <c r="K121" s="241"/>
      <c r="L121" s="231"/>
      <c r="M121" s="231"/>
      <c r="N121" s="231"/>
      <c r="O121" s="231"/>
      <c r="P121" s="231"/>
      <c r="Q121" s="241"/>
      <c r="R121" s="358">
        <v>22302747.576007824</v>
      </c>
      <c r="S121" s="407" t="s">
        <v>318</v>
      </c>
    </row>
    <row r="122" spans="3:19">
      <c r="C122" s="231"/>
      <c r="D122" s="239"/>
      <c r="E122" s="231"/>
      <c r="F122" s="231"/>
      <c r="G122" s="231"/>
      <c r="H122" s="231"/>
      <c r="I122" s="240"/>
      <c r="J122" s="231"/>
      <c r="K122" s="241"/>
      <c r="L122" s="231"/>
      <c r="M122" s="231"/>
      <c r="N122" s="231"/>
      <c r="O122" s="231"/>
      <c r="P122" s="231"/>
      <c r="Q122" s="241"/>
      <c r="R122" s="360">
        <v>0</v>
      </c>
      <c r="S122" s="407" t="s">
        <v>118</v>
      </c>
    </row>
    <row r="123" spans="3:19">
      <c r="C123" s="231"/>
      <c r="D123" s="239"/>
      <c r="E123" s="231"/>
      <c r="F123" s="231"/>
      <c r="G123" s="231"/>
      <c r="H123" s="231"/>
      <c r="I123" s="240"/>
      <c r="J123" s="231"/>
      <c r="K123" s="241"/>
      <c r="L123" s="231"/>
      <c r="M123" s="231"/>
      <c r="N123" s="231"/>
      <c r="O123" s="231"/>
      <c r="P123" s="231"/>
      <c r="Q123" s="241"/>
      <c r="R123" s="358">
        <v>696124032.64692307</v>
      </c>
      <c r="S123" s="407" t="s">
        <v>233</v>
      </c>
    </row>
    <row r="124" spans="3:19">
      <c r="C124" s="231"/>
      <c r="D124" s="239"/>
      <c r="E124" s="231"/>
      <c r="F124" s="231"/>
      <c r="G124" s="231"/>
      <c r="H124" s="231"/>
      <c r="I124" s="240"/>
      <c r="J124" s="231"/>
      <c r="K124" s="241"/>
      <c r="L124" s="231"/>
      <c r="M124" s="231"/>
      <c r="N124" s="231"/>
      <c r="O124" s="231"/>
      <c r="P124" s="231"/>
      <c r="Q124" s="241"/>
      <c r="R124" s="360">
        <v>0.11379279303146381</v>
      </c>
      <c r="S124" s="363" t="s">
        <v>234</v>
      </c>
    </row>
    <row r="125" spans="3:19">
      <c r="C125" s="231"/>
      <c r="D125" s="239"/>
      <c r="E125" s="231"/>
      <c r="F125" s="231"/>
      <c r="G125" s="231"/>
      <c r="H125" s="231"/>
      <c r="I125" s="240"/>
      <c r="J125" s="231"/>
      <c r="K125" s="241"/>
      <c r="L125" s="231"/>
      <c r="M125" s="231"/>
      <c r="N125" s="231"/>
      <c r="O125" s="231"/>
      <c r="P125" s="231"/>
      <c r="Q125" s="241"/>
      <c r="R125" s="409">
        <v>1069907872</v>
      </c>
      <c r="S125" s="356" t="s">
        <v>37</v>
      </c>
    </row>
    <row r="126" spans="3:19">
      <c r="C126" s="231"/>
      <c r="D126" s="239"/>
      <c r="E126" s="231"/>
      <c r="F126" s="231"/>
      <c r="G126" s="231"/>
      <c r="H126" s="231"/>
      <c r="I126" s="240"/>
      <c r="J126" s="231"/>
      <c r="K126" s="241"/>
      <c r="L126" s="231"/>
      <c r="M126" s="231"/>
      <c r="N126" s="231"/>
      <c r="O126" s="231"/>
      <c r="P126" s="231"/>
      <c r="Q126" s="241"/>
      <c r="R126" s="410">
        <v>1107616715</v>
      </c>
      <c r="S126" s="357" t="s">
        <v>38</v>
      </c>
    </row>
    <row r="127" spans="3:19">
      <c r="C127" s="231"/>
      <c r="D127" s="239"/>
      <c r="E127" s="231"/>
      <c r="F127" s="231"/>
      <c r="G127" s="231"/>
      <c r="H127" s="231"/>
      <c r="I127" s="240"/>
      <c r="J127" s="231"/>
      <c r="K127" s="241"/>
      <c r="L127" s="231"/>
      <c r="M127" s="231"/>
      <c r="N127" s="231"/>
      <c r="O127" s="231"/>
      <c r="P127" s="231"/>
      <c r="Q127" s="241"/>
      <c r="R127" s="410">
        <v>1087305187</v>
      </c>
      <c r="S127" s="365" t="s">
        <v>323</v>
      </c>
    </row>
    <row r="128" spans="3:19" ht="13.5" thickBot="1">
      <c r="C128" s="231"/>
      <c r="D128" s="239"/>
      <c r="E128" s="231"/>
      <c r="F128" s="231"/>
      <c r="G128" s="231"/>
      <c r="H128" s="231"/>
      <c r="I128" s="240"/>
      <c r="J128" s="231"/>
      <c r="K128" s="241"/>
      <c r="L128" s="231"/>
      <c r="M128" s="231"/>
      <c r="N128" s="231"/>
      <c r="O128" s="231"/>
      <c r="P128" s="231"/>
      <c r="Q128" s="241"/>
      <c r="R128" s="411">
        <v>26836591</v>
      </c>
      <c r="S128" s="367" t="s">
        <v>319</v>
      </c>
    </row>
    <row r="129" spans="3:19">
      <c r="C129" s="231"/>
      <c r="D129" s="239"/>
      <c r="E129" s="231"/>
      <c r="F129" s="231"/>
      <c r="G129" s="231"/>
      <c r="H129" s="231"/>
      <c r="I129" s="240"/>
      <c r="J129" s="231"/>
      <c r="K129" s="241"/>
      <c r="L129" s="231"/>
      <c r="M129" s="231"/>
      <c r="N129" s="231"/>
      <c r="O129" s="231"/>
      <c r="P129" s="231"/>
      <c r="Q129" s="241"/>
      <c r="R129" s="231"/>
      <c r="S129" s="231"/>
    </row>
    <row r="130" spans="3:19">
      <c r="C130" s="231"/>
      <c r="D130" s="239"/>
      <c r="E130" s="231"/>
      <c r="F130" s="231"/>
      <c r="G130" s="231"/>
      <c r="H130" s="231"/>
      <c r="I130" s="240"/>
      <c r="J130" s="231"/>
      <c r="K130" s="241"/>
      <c r="L130" s="231"/>
      <c r="M130" s="231"/>
      <c r="N130" s="231"/>
      <c r="O130" s="231"/>
      <c r="P130" s="231"/>
      <c r="Q130" s="241"/>
      <c r="R130" s="348" t="s">
        <v>116</v>
      </c>
      <c r="S130" s="231" t="s">
        <v>130</v>
      </c>
    </row>
    <row r="131" spans="3:19" ht="13.5" thickBot="1">
      <c r="C131" s="231"/>
      <c r="D131" s="239"/>
      <c r="E131" s="231"/>
      <c r="F131" s="231"/>
      <c r="G131" s="231"/>
      <c r="H131" s="231"/>
      <c r="I131" s="240"/>
      <c r="J131" s="231"/>
      <c r="K131" s="241"/>
      <c r="L131" s="231"/>
      <c r="M131" s="231"/>
      <c r="N131" s="231"/>
      <c r="O131" s="231"/>
      <c r="P131" s="231"/>
      <c r="Q131" s="241"/>
      <c r="R131" s="349" t="s">
        <v>134</v>
      </c>
      <c r="S131" s="231"/>
    </row>
    <row r="132" spans="3:19">
      <c r="C132" s="231"/>
      <c r="D132" s="239"/>
      <c r="E132" s="231"/>
      <c r="F132" s="231"/>
      <c r="G132" s="231"/>
      <c r="H132" s="231"/>
      <c r="I132" s="240"/>
      <c r="J132" s="231"/>
      <c r="K132" s="241"/>
      <c r="L132" s="231"/>
      <c r="M132" s="231"/>
      <c r="N132" s="231"/>
      <c r="O132" s="231"/>
      <c r="P132" s="231"/>
      <c r="Q132" s="241"/>
      <c r="R132" s="368">
        <v>8270466.4672365077</v>
      </c>
      <c r="S132" s="148" t="s">
        <v>136</v>
      </c>
    </row>
    <row r="133" spans="3:19">
      <c r="C133" s="231"/>
      <c r="D133" s="239"/>
      <c r="E133" s="231"/>
      <c r="F133" s="231"/>
      <c r="G133" s="231"/>
      <c r="H133" s="231"/>
      <c r="I133" s="240"/>
      <c r="J133" s="231"/>
      <c r="K133" s="241"/>
      <c r="L133" s="231"/>
      <c r="M133" s="231"/>
      <c r="N133" s="231"/>
      <c r="O133" s="231"/>
      <c r="P133" s="231"/>
      <c r="Q133" s="241"/>
      <c r="R133" s="369">
        <v>8270466.4672365077</v>
      </c>
      <c r="S133" s="148" t="s">
        <v>137</v>
      </c>
    </row>
    <row r="134" spans="3:19">
      <c r="C134" s="231"/>
      <c r="D134" s="239"/>
      <c r="E134" s="231"/>
      <c r="F134" s="231"/>
      <c r="G134" s="231"/>
      <c r="H134" s="231"/>
      <c r="I134" s="240"/>
      <c r="J134" s="231"/>
      <c r="K134" s="241"/>
      <c r="L134" s="231"/>
      <c r="M134" s="231"/>
      <c r="N134" s="231"/>
      <c r="O134" s="231"/>
      <c r="P134" s="231"/>
      <c r="Q134" s="241"/>
      <c r="R134" s="412">
        <v>8678780.3721792269</v>
      </c>
      <c r="S134" s="148" t="s">
        <v>138</v>
      </c>
    </row>
    <row r="135" spans="3:19" ht="13.5" thickBot="1">
      <c r="C135" s="231"/>
      <c r="D135" s="239"/>
      <c r="E135" s="231"/>
      <c r="F135" s="231"/>
      <c r="G135" s="231"/>
      <c r="H135" s="231"/>
      <c r="I135" s="240"/>
      <c r="J135" s="231"/>
      <c r="K135" s="241"/>
      <c r="L135" s="231"/>
      <c r="M135" s="231"/>
      <c r="N135" s="231"/>
      <c r="O135" s="231"/>
      <c r="P135" s="231"/>
      <c r="Q135" s="241"/>
      <c r="R135" s="370">
        <v>8678780.3721792269</v>
      </c>
      <c r="S135" s="148" t="s">
        <v>139</v>
      </c>
    </row>
    <row r="136" spans="3:19" ht="12.75" customHeight="1">
      <c r="R136" s="231"/>
      <c r="S136" s="231"/>
    </row>
    <row r="137" spans="3:19" ht="12.75" customHeight="1">
      <c r="R137" s="348" t="s">
        <v>128</v>
      </c>
      <c r="S137" s="232" t="s">
        <v>133</v>
      </c>
    </row>
  </sheetData>
  <mergeCells count="6">
    <mergeCell ref="C8:I8"/>
    <mergeCell ref="A1:K1"/>
    <mergeCell ref="A2:K2"/>
    <mergeCell ref="A3:K3"/>
    <mergeCell ref="A4:K4"/>
    <mergeCell ref="A5:K5"/>
  </mergeCells>
  <phoneticPr fontId="0" type="noConversion"/>
  <printOptions horizontalCentered="1"/>
  <pageMargins left="0.25" right="0.25" top="0.75" bottom="0.25" header="0.25" footer="0.5"/>
  <pageSetup scale="41" fitToHeight="5" orientation="landscape" horizontalDpi="1200" verticalDpi="1200" r:id="rId1"/>
  <headerFooter alignWithMargins="0">
    <oddHeader xml:space="preserve">&amp;R&amp;16AEP - SPP Formula Rate
PSO TCOS - WS G
Page: &amp;P of &amp;N
</oddHeader>
    <oddFooter xml:space="preserve">&amp;C &amp;R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162"/>
  <sheetViews>
    <sheetView topLeftCell="A82" zoomScale="85" zoomScaleNormal="85" workbookViewId="0">
      <selection activeCell="D99" sqref="D99:I10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27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647610.96322305209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647610.96322305209</v>
      </c>
      <c r="O6" s="231"/>
      <c r="P6" s="231"/>
    </row>
    <row r="7" spans="1:16" ht="13.5" thickBot="1">
      <c r="C7" s="429" t="s">
        <v>46</v>
      </c>
      <c r="D7" s="617" t="s">
        <v>333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/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335</v>
      </c>
      <c r="E9" s="621" t="s">
        <v>337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5058588.62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2019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3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133120.75315789474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2019</v>
      </c>
      <c r="D17" s="582">
        <v>0</v>
      </c>
      <c r="E17" s="583">
        <v>0</v>
      </c>
      <c r="F17" s="582">
        <v>4120000</v>
      </c>
      <c r="G17" s="583">
        <v>230012.66047295602</v>
      </c>
      <c r="H17" s="585">
        <v>230012.66047295602</v>
      </c>
      <c r="I17" s="473">
        <f>H17-G17</f>
        <v>0</v>
      </c>
      <c r="J17" s="473"/>
      <c r="K17" s="552">
        <f>+G17</f>
        <v>230012.66047295602</v>
      </c>
      <c r="L17" s="475">
        <f t="shared" ref="L17:L18" si="0">IF(K17&lt;&gt;0,+G17-K17,0)</f>
        <v>0</v>
      </c>
      <c r="M17" s="552">
        <f>+H17</f>
        <v>230012.66047295602</v>
      </c>
      <c r="N17" s="475">
        <f t="shared" ref="N17:N72" si="1">IF(M17&lt;&gt;0,+H17-M17,0)</f>
        <v>0</v>
      </c>
      <c r="O17" s="476">
        <f t="shared" ref="O17:O72" si="2">+N17-L17</f>
        <v>0</v>
      </c>
      <c r="P17" s="241"/>
    </row>
    <row r="18" spans="2:16">
      <c r="B18" s="160" t="str">
        <f>IF(D18=F17,"","IU")</f>
        <v>IU</v>
      </c>
      <c r="C18" s="470">
        <f>IF(D11="","-",+C17+1)</f>
        <v>2020</v>
      </c>
      <c r="D18" s="582">
        <v>4236000</v>
      </c>
      <c r="E18" s="583">
        <v>100857.14285714286</v>
      </c>
      <c r="F18" s="582">
        <v>4135142.8571428573</v>
      </c>
      <c r="G18" s="583">
        <v>552918.85124067403</v>
      </c>
      <c r="H18" s="585">
        <v>552918.85124067403</v>
      </c>
      <c r="I18" s="473">
        <f>H18-G18</f>
        <v>0</v>
      </c>
      <c r="J18" s="473"/>
      <c r="K18" s="476">
        <f>+G18</f>
        <v>552918.85124067403</v>
      </c>
      <c r="L18" s="476">
        <f t="shared" si="0"/>
        <v>0</v>
      </c>
      <c r="M18" s="476">
        <f>+H18</f>
        <v>552918.85124067403</v>
      </c>
      <c r="N18" s="476">
        <f t="shared" si="1"/>
        <v>0</v>
      </c>
      <c r="O18" s="476">
        <f t="shared" si="2"/>
        <v>0</v>
      </c>
      <c r="P18" s="241"/>
    </row>
    <row r="19" spans="2:16">
      <c r="B19" s="160" t="str">
        <f>IF(D19=F18,"","IU")</f>
        <v>IU</v>
      </c>
      <c r="C19" s="470">
        <f>IF(D11="","-",+C18+1)</f>
        <v>2021</v>
      </c>
      <c r="D19" s="582">
        <v>4957664.8571428573</v>
      </c>
      <c r="E19" s="583">
        <v>117640.04651162791</v>
      </c>
      <c r="F19" s="582">
        <v>4840024.8106312295</v>
      </c>
      <c r="G19" s="583">
        <v>645841.5888943586</v>
      </c>
      <c r="H19" s="585">
        <v>645841.5888943586</v>
      </c>
      <c r="I19" s="473">
        <f t="shared" ref="I19:I71" si="3">H19-G19</f>
        <v>0</v>
      </c>
      <c r="J19" s="473"/>
      <c r="K19" s="476">
        <f>+G19</f>
        <v>645841.5888943586</v>
      </c>
      <c r="L19" s="476">
        <f t="shared" ref="L19" si="4">IF(K19&lt;&gt;0,+G19-K19,0)</f>
        <v>0</v>
      </c>
      <c r="M19" s="476">
        <f>+H19</f>
        <v>645841.5888943586</v>
      </c>
      <c r="N19" s="476">
        <f t="shared" si="1"/>
        <v>0</v>
      </c>
      <c r="O19" s="476">
        <f t="shared" si="2"/>
        <v>0</v>
      </c>
      <c r="P19" s="241"/>
    </row>
    <row r="20" spans="2:16">
      <c r="B20" s="160" t="str">
        <f t="shared" ref="B20:B72" si="5">IF(D20=F19,"","IU")</f>
        <v>IU</v>
      </c>
      <c r="C20" s="470">
        <f>IF(D11="","-",+C19+1)</f>
        <v>2022</v>
      </c>
      <c r="D20" s="582">
        <v>4840091.8106312295</v>
      </c>
      <c r="E20" s="583">
        <v>120442.59523809524</v>
      </c>
      <c r="F20" s="582">
        <v>4719649.2153931344</v>
      </c>
      <c r="G20" s="583">
        <v>635766.39004328649</v>
      </c>
      <c r="H20" s="585">
        <v>635766.39004328649</v>
      </c>
      <c r="I20" s="473">
        <f t="shared" si="3"/>
        <v>0</v>
      </c>
      <c r="J20" s="473"/>
      <c r="K20" s="476">
        <f>+G20</f>
        <v>635766.39004328649</v>
      </c>
      <c r="L20" s="476">
        <f t="shared" ref="L20" si="6">IF(K20&lt;&gt;0,+G20-K20,0)</f>
        <v>0</v>
      </c>
      <c r="M20" s="476">
        <f>+H20</f>
        <v>635766.39004328649</v>
      </c>
      <c r="N20" s="476">
        <f t="shared" si="1"/>
        <v>0</v>
      </c>
      <c r="O20" s="476">
        <f t="shared" si="2"/>
        <v>0</v>
      </c>
      <c r="P20" s="241"/>
    </row>
    <row r="21" spans="2:16">
      <c r="B21" s="160" t="str">
        <f t="shared" si="5"/>
        <v>IU</v>
      </c>
      <c r="C21" s="470">
        <f>IF(D11="","-",+C20+1)</f>
        <v>2023</v>
      </c>
      <c r="D21" s="582">
        <v>4719648.8353931345</v>
      </c>
      <c r="E21" s="583">
        <v>129707.40051282052</v>
      </c>
      <c r="F21" s="582">
        <v>4589941.4348803144</v>
      </c>
      <c r="G21" s="583">
        <v>685298.8633650993</v>
      </c>
      <c r="H21" s="585">
        <v>685298.8633650993</v>
      </c>
      <c r="I21" s="473">
        <f t="shared" si="3"/>
        <v>0</v>
      </c>
      <c r="J21" s="473"/>
      <c r="K21" s="476">
        <f>+G21</f>
        <v>685298.8633650993</v>
      </c>
      <c r="L21" s="476">
        <f t="shared" ref="L21" si="7">IF(K21&lt;&gt;0,+G21-K21,0)</f>
        <v>0</v>
      </c>
      <c r="M21" s="476">
        <f>+H21</f>
        <v>685298.8633650993</v>
      </c>
      <c r="N21" s="476">
        <f t="shared" ref="N21" si="8">IF(M21&lt;&gt;0,+H21-M21,0)</f>
        <v>0</v>
      </c>
      <c r="O21" s="476">
        <f t="shared" ref="O21" si="9">+N21-L21</f>
        <v>0</v>
      </c>
      <c r="P21" s="241"/>
    </row>
    <row r="22" spans="2:16">
      <c r="B22" s="160" t="str">
        <f t="shared" si="5"/>
        <v/>
      </c>
      <c r="C22" s="631">
        <f>IF(D11="","-",+C21+1)</f>
        <v>2024</v>
      </c>
      <c r="D22" s="481">
        <f>IF(F21+SUM(E$17:E21)=D$10,F21,D$10-SUM(E$17:E21))</f>
        <v>4589941.4348803144</v>
      </c>
      <c r="E22" s="482">
        <f t="shared" ref="E22:E71" si="10">IF(+I$14&lt;F21,I$14,D22)</f>
        <v>133120.75315789474</v>
      </c>
      <c r="F22" s="483">
        <f t="shared" ref="F22:F71" si="11">+D22-E22</f>
        <v>4456820.6817224193</v>
      </c>
      <c r="G22" s="484">
        <f t="shared" ref="G22:G71" si="12">(D22+F22)/2*I$12+E22</f>
        <v>647610.96322305209</v>
      </c>
      <c r="H22" s="453">
        <f t="shared" ref="H22:H71" si="13">+(D22+F22)/2*I$13+E22</f>
        <v>647610.96322305209</v>
      </c>
      <c r="I22" s="473">
        <f t="shared" si="3"/>
        <v>0</v>
      </c>
      <c r="J22" s="473"/>
      <c r="K22" s="485"/>
      <c r="L22" s="476">
        <f t="shared" ref="L22:L72" si="14">IF(K22&lt;&gt;0,+G22-K22,0)</f>
        <v>0</v>
      </c>
      <c r="M22" s="485"/>
      <c r="N22" s="476">
        <f t="shared" si="1"/>
        <v>0</v>
      </c>
      <c r="O22" s="476">
        <f t="shared" si="2"/>
        <v>0</v>
      </c>
      <c r="P22" s="241"/>
    </row>
    <row r="23" spans="2:16">
      <c r="B23" s="160" t="str">
        <f t="shared" si="5"/>
        <v/>
      </c>
      <c r="C23" s="470">
        <f>IF(D11="","-",+C22+1)</f>
        <v>2025</v>
      </c>
      <c r="D23" s="481">
        <f>IF(F22+SUM(E$17:E22)=D$10,F22,D$10-SUM(E$17:E22))</f>
        <v>4456820.6817224193</v>
      </c>
      <c r="E23" s="482">
        <f t="shared" si="10"/>
        <v>133120.75315789474</v>
      </c>
      <c r="F23" s="483">
        <f t="shared" si="11"/>
        <v>4323699.9285645243</v>
      </c>
      <c r="G23" s="484">
        <f t="shared" si="12"/>
        <v>632469.78378813691</v>
      </c>
      <c r="H23" s="453">
        <f t="shared" si="13"/>
        <v>632469.78378813691</v>
      </c>
      <c r="I23" s="473">
        <f t="shared" si="3"/>
        <v>0</v>
      </c>
      <c r="J23" s="473"/>
      <c r="K23" s="485"/>
      <c r="L23" s="476">
        <f t="shared" si="14"/>
        <v>0</v>
      </c>
      <c r="M23" s="485"/>
      <c r="N23" s="476">
        <f t="shared" si="1"/>
        <v>0</v>
      </c>
      <c r="O23" s="476">
        <f t="shared" si="2"/>
        <v>0</v>
      </c>
      <c r="P23" s="241"/>
    </row>
    <row r="24" spans="2:16">
      <c r="B24" s="160" t="str">
        <f t="shared" si="5"/>
        <v/>
      </c>
      <c r="C24" s="470">
        <f>IF(D11="","-",+C23+1)</f>
        <v>2026</v>
      </c>
      <c r="D24" s="481">
        <f>IF(F23+SUM(E$17:E23)=D$10,F23,D$10-SUM(E$17:E23))</f>
        <v>4323699.9285645243</v>
      </c>
      <c r="E24" s="482">
        <f t="shared" si="10"/>
        <v>133120.75315789474</v>
      </c>
      <c r="F24" s="483">
        <f t="shared" si="11"/>
        <v>4190579.1754066297</v>
      </c>
      <c r="G24" s="484">
        <f t="shared" si="12"/>
        <v>617328.60435322172</v>
      </c>
      <c r="H24" s="453">
        <f t="shared" si="13"/>
        <v>617328.60435322172</v>
      </c>
      <c r="I24" s="473">
        <f t="shared" si="3"/>
        <v>0</v>
      </c>
      <c r="J24" s="473"/>
      <c r="K24" s="485"/>
      <c r="L24" s="476">
        <f t="shared" si="14"/>
        <v>0</v>
      </c>
      <c r="M24" s="485"/>
      <c r="N24" s="476">
        <f t="shared" si="1"/>
        <v>0</v>
      </c>
      <c r="O24" s="476">
        <f t="shared" si="2"/>
        <v>0</v>
      </c>
      <c r="P24" s="241"/>
    </row>
    <row r="25" spans="2:16">
      <c r="B25" s="160" t="str">
        <f t="shared" si="5"/>
        <v/>
      </c>
      <c r="C25" s="470">
        <f>IF(D11="","-",+C24+1)</f>
        <v>2027</v>
      </c>
      <c r="D25" s="481">
        <f>IF(F24+SUM(E$17:E24)=D$10,F24,D$10-SUM(E$17:E24))</f>
        <v>4190579.1754066297</v>
      </c>
      <c r="E25" s="482">
        <f t="shared" si="10"/>
        <v>133120.75315789474</v>
      </c>
      <c r="F25" s="483">
        <f t="shared" si="11"/>
        <v>4057458.4222487351</v>
      </c>
      <c r="G25" s="484">
        <f t="shared" si="12"/>
        <v>602187.42491830676</v>
      </c>
      <c r="H25" s="453">
        <f t="shared" si="13"/>
        <v>602187.42491830676</v>
      </c>
      <c r="I25" s="473">
        <f t="shared" si="3"/>
        <v>0</v>
      </c>
      <c r="J25" s="473"/>
      <c r="K25" s="485"/>
      <c r="L25" s="476">
        <f t="shared" si="14"/>
        <v>0</v>
      </c>
      <c r="M25" s="485"/>
      <c r="N25" s="476">
        <f t="shared" si="1"/>
        <v>0</v>
      </c>
      <c r="O25" s="476">
        <f t="shared" si="2"/>
        <v>0</v>
      </c>
      <c r="P25" s="241"/>
    </row>
    <row r="26" spans="2:16">
      <c r="B26" s="160" t="str">
        <f t="shared" si="5"/>
        <v/>
      </c>
      <c r="C26" s="470">
        <f>IF(D11="","-",+C25+1)</f>
        <v>2028</v>
      </c>
      <c r="D26" s="481">
        <f>IF(F25+SUM(E$17:E25)=D$10,F25,D$10-SUM(E$17:E25))</f>
        <v>4057458.4222487351</v>
      </c>
      <c r="E26" s="482">
        <f t="shared" si="10"/>
        <v>133120.75315789474</v>
      </c>
      <c r="F26" s="483">
        <f t="shared" si="11"/>
        <v>3924337.6690908405</v>
      </c>
      <c r="G26" s="484">
        <f t="shared" si="12"/>
        <v>587046.24548339157</v>
      </c>
      <c r="H26" s="453">
        <f t="shared" si="13"/>
        <v>587046.24548339157</v>
      </c>
      <c r="I26" s="473">
        <f t="shared" si="3"/>
        <v>0</v>
      </c>
      <c r="J26" s="473"/>
      <c r="K26" s="485"/>
      <c r="L26" s="476">
        <f t="shared" si="14"/>
        <v>0</v>
      </c>
      <c r="M26" s="485"/>
      <c r="N26" s="476">
        <f t="shared" si="1"/>
        <v>0</v>
      </c>
      <c r="O26" s="476">
        <f t="shared" si="2"/>
        <v>0</v>
      </c>
      <c r="P26" s="241"/>
    </row>
    <row r="27" spans="2:16">
      <c r="B27" s="160" t="str">
        <f t="shared" si="5"/>
        <v/>
      </c>
      <c r="C27" s="470">
        <f>IF(D11="","-",+C26+1)</f>
        <v>2029</v>
      </c>
      <c r="D27" s="481">
        <f>IF(F26+SUM(E$17:E26)=D$10,F26,D$10-SUM(E$17:E26))</f>
        <v>3924337.6690908405</v>
      </c>
      <c r="E27" s="482">
        <f t="shared" si="10"/>
        <v>133120.75315789474</v>
      </c>
      <c r="F27" s="483">
        <f t="shared" si="11"/>
        <v>3791216.9159329459</v>
      </c>
      <c r="G27" s="484">
        <f t="shared" si="12"/>
        <v>571905.0660484765</v>
      </c>
      <c r="H27" s="453">
        <f t="shared" si="13"/>
        <v>571905.0660484765</v>
      </c>
      <c r="I27" s="473">
        <f t="shared" si="3"/>
        <v>0</v>
      </c>
      <c r="J27" s="473"/>
      <c r="K27" s="485"/>
      <c r="L27" s="476">
        <f t="shared" si="14"/>
        <v>0</v>
      </c>
      <c r="M27" s="485"/>
      <c r="N27" s="476">
        <f t="shared" si="1"/>
        <v>0</v>
      </c>
      <c r="O27" s="476">
        <f t="shared" si="2"/>
        <v>0</v>
      </c>
      <c r="P27" s="241"/>
    </row>
    <row r="28" spans="2:16">
      <c r="B28" s="160" t="str">
        <f t="shared" si="5"/>
        <v/>
      </c>
      <c r="C28" s="470">
        <f>IF(D11="","-",+C27+1)</f>
        <v>2030</v>
      </c>
      <c r="D28" s="481">
        <f>IF(F27+SUM(E$17:E27)=D$10,F27,D$10-SUM(E$17:E27))</f>
        <v>3791216.9159329459</v>
      </c>
      <c r="E28" s="482">
        <f t="shared" si="10"/>
        <v>133120.75315789474</v>
      </c>
      <c r="F28" s="483">
        <f t="shared" si="11"/>
        <v>3658096.1627750513</v>
      </c>
      <c r="G28" s="484">
        <f t="shared" si="12"/>
        <v>556763.88661356131</v>
      </c>
      <c r="H28" s="453">
        <f t="shared" si="13"/>
        <v>556763.88661356131</v>
      </c>
      <c r="I28" s="473">
        <f t="shared" si="3"/>
        <v>0</v>
      </c>
      <c r="J28" s="473"/>
      <c r="K28" s="485"/>
      <c r="L28" s="476">
        <f t="shared" si="14"/>
        <v>0</v>
      </c>
      <c r="M28" s="485"/>
      <c r="N28" s="476">
        <f t="shared" si="1"/>
        <v>0</v>
      </c>
      <c r="O28" s="476">
        <f t="shared" si="2"/>
        <v>0</v>
      </c>
      <c r="P28" s="241"/>
    </row>
    <row r="29" spans="2:16">
      <c r="B29" s="160" t="str">
        <f t="shared" si="5"/>
        <v/>
      </c>
      <c r="C29" s="470">
        <f>IF(D11="","-",+C28+1)</f>
        <v>2031</v>
      </c>
      <c r="D29" s="481">
        <f>IF(F28+SUM(E$17:E28)=D$10,F28,D$10-SUM(E$17:E28))</f>
        <v>3658096.1627750513</v>
      </c>
      <c r="E29" s="482">
        <f t="shared" si="10"/>
        <v>133120.75315789474</v>
      </c>
      <c r="F29" s="483">
        <f t="shared" si="11"/>
        <v>3524975.4096171567</v>
      </c>
      <c r="G29" s="484">
        <f t="shared" si="12"/>
        <v>541622.70717864635</v>
      </c>
      <c r="H29" s="453">
        <f t="shared" si="13"/>
        <v>541622.70717864635</v>
      </c>
      <c r="I29" s="473">
        <f t="shared" si="3"/>
        <v>0</v>
      </c>
      <c r="J29" s="473"/>
      <c r="K29" s="485"/>
      <c r="L29" s="476">
        <f t="shared" si="14"/>
        <v>0</v>
      </c>
      <c r="M29" s="485"/>
      <c r="N29" s="476">
        <f t="shared" si="1"/>
        <v>0</v>
      </c>
      <c r="O29" s="476">
        <f t="shared" si="2"/>
        <v>0</v>
      </c>
      <c r="P29" s="241"/>
    </row>
    <row r="30" spans="2:16">
      <c r="B30" s="160" t="str">
        <f t="shared" si="5"/>
        <v/>
      </c>
      <c r="C30" s="470">
        <f>IF(D11="","-",+C29+1)</f>
        <v>2032</v>
      </c>
      <c r="D30" s="481">
        <f>IF(F29+SUM(E$17:E29)=D$10,F29,D$10-SUM(E$17:E29))</f>
        <v>3524975.4096171567</v>
      </c>
      <c r="E30" s="482">
        <f t="shared" si="10"/>
        <v>133120.75315789474</v>
      </c>
      <c r="F30" s="483">
        <f t="shared" si="11"/>
        <v>3391854.6564592621</v>
      </c>
      <c r="G30" s="484">
        <f t="shared" si="12"/>
        <v>526481.52774373116</v>
      </c>
      <c r="H30" s="453">
        <f t="shared" si="13"/>
        <v>526481.52774373116</v>
      </c>
      <c r="I30" s="473">
        <f t="shared" si="3"/>
        <v>0</v>
      </c>
      <c r="J30" s="473"/>
      <c r="K30" s="485"/>
      <c r="L30" s="476">
        <f t="shared" si="14"/>
        <v>0</v>
      </c>
      <c r="M30" s="485"/>
      <c r="N30" s="476">
        <f t="shared" si="1"/>
        <v>0</v>
      </c>
      <c r="O30" s="476">
        <f t="shared" si="2"/>
        <v>0</v>
      </c>
      <c r="P30" s="241"/>
    </row>
    <row r="31" spans="2:16">
      <c r="B31" s="160" t="str">
        <f t="shared" si="5"/>
        <v/>
      </c>
      <c r="C31" s="470">
        <f>IF(D11="","-",+C30+1)</f>
        <v>2033</v>
      </c>
      <c r="D31" s="481">
        <f>IF(F30+SUM(E$17:E30)=D$10,F30,D$10-SUM(E$17:E30))</f>
        <v>3391854.6564592621</v>
      </c>
      <c r="E31" s="482">
        <f t="shared" si="10"/>
        <v>133120.75315789474</v>
      </c>
      <c r="F31" s="483">
        <f t="shared" si="11"/>
        <v>3258733.9033013675</v>
      </c>
      <c r="G31" s="484">
        <f t="shared" si="12"/>
        <v>511340.34830881609</v>
      </c>
      <c r="H31" s="453">
        <f t="shared" si="13"/>
        <v>511340.34830881609</v>
      </c>
      <c r="I31" s="473">
        <f t="shared" si="3"/>
        <v>0</v>
      </c>
      <c r="J31" s="473"/>
      <c r="K31" s="485"/>
      <c r="L31" s="476">
        <f t="shared" si="14"/>
        <v>0</v>
      </c>
      <c r="M31" s="485"/>
      <c r="N31" s="476">
        <f t="shared" si="1"/>
        <v>0</v>
      </c>
      <c r="O31" s="476">
        <f t="shared" si="2"/>
        <v>0</v>
      </c>
      <c r="P31" s="241"/>
    </row>
    <row r="32" spans="2:16">
      <c r="B32" s="160" t="str">
        <f t="shared" si="5"/>
        <v/>
      </c>
      <c r="C32" s="470">
        <f>IF(D11="","-",+C31+1)</f>
        <v>2034</v>
      </c>
      <c r="D32" s="481">
        <f>IF(F31+SUM(E$17:E31)=D$10,F31,D$10-SUM(E$17:E31))</f>
        <v>3258733.9033013675</v>
      </c>
      <c r="E32" s="482">
        <f t="shared" si="10"/>
        <v>133120.75315789474</v>
      </c>
      <c r="F32" s="483">
        <f t="shared" si="11"/>
        <v>3125613.1501434729</v>
      </c>
      <c r="G32" s="484">
        <f t="shared" si="12"/>
        <v>496199.16887390101</v>
      </c>
      <c r="H32" s="453">
        <f t="shared" si="13"/>
        <v>496199.16887390101</v>
      </c>
      <c r="I32" s="473">
        <f t="shared" si="3"/>
        <v>0</v>
      </c>
      <c r="J32" s="473"/>
      <c r="K32" s="485"/>
      <c r="L32" s="476">
        <f t="shared" si="14"/>
        <v>0</v>
      </c>
      <c r="M32" s="485"/>
      <c r="N32" s="476">
        <f t="shared" si="1"/>
        <v>0</v>
      </c>
      <c r="O32" s="476">
        <f t="shared" si="2"/>
        <v>0</v>
      </c>
      <c r="P32" s="241"/>
    </row>
    <row r="33" spans="2:16">
      <c r="B33" s="160" t="str">
        <f t="shared" si="5"/>
        <v/>
      </c>
      <c r="C33" s="470">
        <f>IF(D11="","-",+C32+1)</f>
        <v>2035</v>
      </c>
      <c r="D33" s="481">
        <f>IF(F32+SUM(E$17:E32)=D$10,F32,D$10-SUM(E$17:E32))</f>
        <v>3125613.1501434729</v>
      </c>
      <c r="E33" s="482">
        <f t="shared" si="10"/>
        <v>133120.75315789474</v>
      </c>
      <c r="F33" s="483">
        <f t="shared" si="11"/>
        <v>2992492.3969855784</v>
      </c>
      <c r="G33" s="484">
        <f t="shared" si="12"/>
        <v>481057.98943898594</v>
      </c>
      <c r="H33" s="453">
        <f t="shared" si="13"/>
        <v>481057.98943898594</v>
      </c>
      <c r="I33" s="473">
        <f t="shared" si="3"/>
        <v>0</v>
      </c>
      <c r="J33" s="473"/>
      <c r="K33" s="485"/>
      <c r="L33" s="476">
        <f t="shared" si="14"/>
        <v>0</v>
      </c>
      <c r="M33" s="485"/>
      <c r="N33" s="476">
        <f t="shared" si="1"/>
        <v>0</v>
      </c>
      <c r="O33" s="476">
        <f t="shared" si="2"/>
        <v>0</v>
      </c>
      <c r="P33" s="241"/>
    </row>
    <row r="34" spans="2:16">
      <c r="B34" s="160" t="str">
        <f t="shared" si="5"/>
        <v/>
      </c>
      <c r="C34" s="470">
        <f>IF(D11="","-",+C33+1)</f>
        <v>2036</v>
      </c>
      <c r="D34" s="481">
        <f>IF(F33+SUM(E$17:E33)=D$10,F33,D$10-SUM(E$17:E33))</f>
        <v>2992492.3969855784</v>
      </c>
      <c r="E34" s="482">
        <f t="shared" si="10"/>
        <v>133120.75315789474</v>
      </c>
      <c r="F34" s="483">
        <f t="shared" si="11"/>
        <v>2859371.6438276838</v>
      </c>
      <c r="G34" s="484">
        <f t="shared" si="12"/>
        <v>465916.81000407075</v>
      </c>
      <c r="H34" s="453">
        <f t="shared" si="13"/>
        <v>465916.81000407075</v>
      </c>
      <c r="I34" s="473">
        <f t="shared" si="3"/>
        <v>0</v>
      </c>
      <c r="J34" s="473"/>
      <c r="K34" s="485"/>
      <c r="L34" s="476">
        <f t="shared" si="14"/>
        <v>0</v>
      </c>
      <c r="M34" s="485"/>
      <c r="N34" s="476">
        <f t="shared" si="1"/>
        <v>0</v>
      </c>
      <c r="O34" s="476">
        <f t="shared" si="2"/>
        <v>0</v>
      </c>
      <c r="P34" s="241"/>
    </row>
    <row r="35" spans="2:16">
      <c r="B35" s="160" t="str">
        <f t="shared" si="5"/>
        <v/>
      </c>
      <c r="C35" s="470">
        <f>IF(D11="","-",+C34+1)</f>
        <v>2037</v>
      </c>
      <c r="D35" s="481">
        <f>IF(F34+SUM(E$17:E34)=D$10,F34,D$10-SUM(E$17:E34))</f>
        <v>2859371.6438276838</v>
      </c>
      <c r="E35" s="482">
        <f t="shared" si="10"/>
        <v>133120.75315789474</v>
      </c>
      <c r="F35" s="483">
        <f t="shared" si="11"/>
        <v>2726250.8906697892</v>
      </c>
      <c r="G35" s="484">
        <f t="shared" si="12"/>
        <v>450775.63056915579</v>
      </c>
      <c r="H35" s="453">
        <f t="shared" si="13"/>
        <v>450775.63056915579</v>
      </c>
      <c r="I35" s="473">
        <f t="shared" si="3"/>
        <v>0</v>
      </c>
      <c r="J35" s="473"/>
      <c r="K35" s="485"/>
      <c r="L35" s="476">
        <f t="shared" si="14"/>
        <v>0</v>
      </c>
      <c r="M35" s="485"/>
      <c r="N35" s="476">
        <f t="shared" si="1"/>
        <v>0</v>
      </c>
      <c r="O35" s="476">
        <f t="shared" si="2"/>
        <v>0</v>
      </c>
      <c r="P35" s="241"/>
    </row>
    <row r="36" spans="2:16">
      <c r="B36" s="160" t="str">
        <f t="shared" si="5"/>
        <v/>
      </c>
      <c r="C36" s="470">
        <f>IF(D11="","-",+C35+1)</f>
        <v>2038</v>
      </c>
      <c r="D36" s="481">
        <f>IF(F35+SUM(E$17:E35)=D$10,F35,D$10-SUM(E$17:E35))</f>
        <v>2726250.8906697892</v>
      </c>
      <c r="E36" s="482">
        <f t="shared" si="10"/>
        <v>133120.75315789474</v>
      </c>
      <c r="F36" s="483">
        <f t="shared" si="11"/>
        <v>2593130.1375118946</v>
      </c>
      <c r="G36" s="484">
        <f t="shared" si="12"/>
        <v>435634.4511342406</v>
      </c>
      <c r="H36" s="453">
        <f t="shared" si="13"/>
        <v>435634.4511342406</v>
      </c>
      <c r="I36" s="473">
        <f t="shared" si="3"/>
        <v>0</v>
      </c>
      <c r="J36" s="473"/>
      <c r="K36" s="485"/>
      <c r="L36" s="476">
        <f t="shared" si="14"/>
        <v>0</v>
      </c>
      <c r="M36" s="485"/>
      <c r="N36" s="476">
        <f t="shared" si="1"/>
        <v>0</v>
      </c>
      <c r="O36" s="476">
        <f t="shared" si="2"/>
        <v>0</v>
      </c>
      <c r="P36" s="241"/>
    </row>
    <row r="37" spans="2:16">
      <c r="B37" s="160" t="str">
        <f t="shared" si="5"/>
        <v/>
      </c>
      <c r="C37" s="470">
        <f>IF(D11="","-",+C36+1)</f>
        <v>2039</v>
      </c>
      <c r="D37" s="481">
        <f>IF(F36+SUM(E$17:E36)=D$10,F36,D$10-SUM(E$17:E36))</f>
        <v>2593130.1375118946</v>
      </c>
      <c r="E37" s="482">
        <f t="shared" si="10"/>
        <v>133120.75315789474</v>
      </c>
      <c r="F37" s="483">
        <f t="shared" si="11"/>
        <v>2460009.384354</v>
      </c>
      <c r="G37" s="484">
        <f t="shared" si="12"/>
        <v>420493.27169932553</v>
      </c>
      <c r="H37" s="453">
        <f t="shared" si="13"/>
        <v>420493.27169932553</v>
      </c>
      <c r="I37" s="473">
        <f t="shared" si="3"/>
        <v>0</v>
      </c>
      <c r="J37" s="473"/>
      <c r="K37" s="485"/>
      <c r="L37" s="476">
        <f t="shared" si="14"/>
        <v>0</v>
      </c>
      <c r="M37" s="485"/>
      <c r="N37" s="476">
        <f t="shared" si="1"/>
        <v>0</v>
      </c>
      <c r="O37" s="476">
        <f t="shared" si="2"/>
        <v>0</v>
      </c>
      <c r="P37" s="241"/>
    </row>
    <row r="38" spans="2:16">
      <c r="B38" s="160" t="str">
        <f t="shared" si="5"/>
        <v/>
      </c>
      <c r="C38" s="470">
        <f>IF(D11="","-",+C37+1)</f>
        <v>2040</v>
      </c>
      <c r="D38" s="481">
        <f>IF(F37+SUM(E$17:E37)=D$10,F37,D$10-SUM(E$17:E37))</f>
        <v>2460009.384354</v>
      </c>
      <c r="E38" s="482">
        <f t="shared" si="10"/>
        <v>133120.75315789474</v>
      </c>
      <c r="F38" s="483">
        <f t="shared" si="11"/>
        <v>2326888.6311961054</v>
      </c>
      <c r="G38" s="484">
        <f t="shared" si="12"/>
        <v>405352.09226441034</v>
      </c>
      <c r="H38" s="453">
        <f t="shared" si="13"/>
        <v>405352.09226441034</v>
      </c>
      <c r="I38" s="473">
        <f t="shared" si="3"/>
        <v>0</v>
      </c>
      <c r="J38" s="473"/>
      <c r="K38" s="485"/>
      <c r="L38" s="476">
        <f t="shared" si="14"/>
        <v>0</v>
      </c>
      <c r="M38" s="485"/>
      <c r="N38" s="476">
        <f t="shared" si="1"/>
        <v>0</v>
      </c>
      <c r="O38" s="476">
        <f t="shared" si="2"/>
        <v>0</v>
      </c>
      <c r="P38" s="241"/>
    </row>
    <row r="39" spans="2:16">
      <c r="B39" s="160" t="str">
        <f t="shared" si="5"/>
        <v/>
      </c>
      <c r="C39" s="470">
        <f>IF(D11="","-",+C38+1)</f>
        <v>2041</v>
      </c>
      <c r="D39" s="481">
        <f>IF(F38+SUM(E$17:E38)=D$10,F38,D$10-SUM(E$17:E38))</f>
        <v>2326888.6311961054</v>
      </c>
      <c r="E39" s="482">
        <f t="shared" si="10"/>
        <v>133120.75315789474</v>
      </c>
      <c r="F39" s="483">
        <f t="shared" si="11"/>
        <v>2193767.8780382108</v>
      </c>
      <c r="G39" s="484">
        <f t="shared" si="12"/>
        <v>390210.91282949538</v>
      </c>
      <c r="H39" s="453">
        <f t="shared" si="13"/>
        <v>390210.91282949538</v>
      </c>
      <c r="I39" s="473">
        <f t="shared" si="3"/>
        <v>0</v>
      </c>
      <c r="J39" s="473"/>
      <c r="K39" s="485"/>
      <c r="L39" s="476">
        <f t="shared" si="14"/>
        <v>0</v>
      </c>
      <c r="M39" s="485"/>
      <c r="N39" s="476">
        <f t="shared" si="1"/>
        <v>0</v>
      </c>
      <c r="O39" s="476">
        <f t="shared" si="2"/>
        <v>0</v>
      </c>
      <c r="P39" s="241"/>
    </row>
    <row r="40" spans="2:16">
      <c r="B40" s="160" t="str">
        <f t="shared" si="5"/>
        <v/>
      </c>
      <c r="C40" s="470">
        <f>IF(D11="","-",+C39+1)</f>
        <v>2042</v>
      </c>
      <c r="D40" s="481">
        <f>IF(F39+SUM(E$17:E39)=D$10,F39,D$10-SUM(E$17:E39))</f>
        <v>2193767.8780382108</v>
      </c>
      <c r="E40" s="482">
        <f t="shared" si="10"/>
        <v>133120.75315789474</v>
      </c>
      <c r="F40" s="483">
        <f t="shared" si="11"/>
        <v>2060647.124880316</v>
      </c>
      <c r="G40" s="484">
        <f t="shared" si="12"/>
        <v>375069.73339458019</v>
      </c>
      <c r="H40" s="453">
        <f t="shared" si="13"/>
        <v>375069.73339458019</v>
      </c>
      <c r="I40" s="473">
        <f t="shared" si="3"/>
        <v>0</v>
      </c>
      <c r="J40" s="473"/>
      <c r="K40" s="485"/>
      <c r="L40" s="476">
        <f t="shared" si="14"/>
        <v>0</v>
      </c>
      <c r="M40" s="485"/>
      <c r="N40" s="476">
        <f t="shared" si="1"/>
        <v>0</v>
      </c>
      <c r="O40" s="476">
        <f t="shared" si="2"/>
        <v>0</v>
      </c>
      <c r="P40" s="241"/>
    </row>
    <row r="41" spans="2:16">
      <c r="B41" s="160" t="str">
        <f t="shared" si="5"/>
        <v/>
      </c>
      <c r="C41" s="470">
        <f>IF(D11="","-",+C40+1)</f>
        <v>2043</v>
      </c>
      <c r="D41" s="481">
        <f>IF(F40+SUM(E$17:E40)=D$10,F40,D$10-SUM(E$17:E40))</f>
        <v>2060647.124880316</v>
      </c>
      <c r="E41" s="482">
        <f t="shared" si="10"/>
        <v>133120.75315789474</v>
      </c>
      <c r="F41" s="483">
        <f t="shared" si="11"/>
        <v>1927526.3717224211</v>
      </c>
      <c r="G41" s="484">
        <f t="shared" si="12"/>
        <v>359928.55395966512</v>
      </c>
      <c r="H41" s="453">
        <f t="shared" si="13"/>
        <v>359928.55395966512</v>
      </c>
      <c r="I41" s="473">
        <f t="shared" si="3"/>
        <v>0</v>
      </c>
      <c r="J41" s="473"/>
      <c r="K41" s="485"/>
      <c r="L41" s="476">
        <f t="shared" si="14"/>
        <v>0</v>
      </c>
      <c r="M41" s="485"/>
      <c r="N41" s="476">
        <f t="shared" si="1"/>
        <v>0</v>
      </c>
      <c r="O41" s="476">
        <f t="shared" si="2"/>
        <v>0</v>
      </c>
      <c r="P41" s="241"/>
    </row>
    <row r="42" spans="2:16">
      <c r="B42" s="160" t="str">
        <f t="shared" si="5"/>
        <v/>
      </c>
      <c r="C42" s="470">
        <f>IF(D11="","-",+C41+1)</f>
        <v>2044</v>
      </c>
      <c r="D42" s="481">
        <f>IF(F41+SUM(E$17:E41)=D$10,F41,D$10-SUM(E$17:E41))</f>
        <v>1927526.3717224211</v>
      </c>
      <c r="E42" s="482">
        <f t="shared" si="10"/>
        <v>133120.75315789474</v>
      </c>
      <c r="F42" s="483">
        <f t="shared" si="11"/>
        <v>1794405.6185645263</v>
      </c>
      <c r="G42" s="484">
        <f t="shared" si="12"/>
        <v>344787.37452474993</v>
      </c>
      <c r="H42" s="453">
        <f t="shared" si="13"/>
        <v>344787.37452474993</v>
      </c>
      <c r="I42" s="473">
        <f t="shared" si="3"/>
        <v>0</v>
      </c>
      <c r="J42" s="473"/>
      <c r="K42" s="485"/>
      <c r="L42" s="476">
        <f t="shared" si="14"/>
        <v>0</v>
      </c>
      <c r="M42" s="485"/>
      <c r="N42" s="476">
        <f t="shared" si="1"/>
        <v>0</v>
      </c>
      <c r="O42" s="476">
        <f t="shared" si="2"/>
        <v>0</v>
      </c>
      <c r="P42" s="241"/>
    </row>
    <row r="43" spans="2:16">
      <c r="B43" s="160" t="str">
        <f t="shared" si="5"/>
        <v/>
      </c>
      <c r="C43" s="470">
        <f>IF(D11="","-",+C42+1)</f>
        <v>2045</v>
      </c>
      <c r="D43" s="481">
        <f>IF(F42+SUM(E$17:E42)=D$10,F42,D$10-SUM(E$17:E42))</f>
        <v>1794405.6185645263</v>
      </c>
      <c r="E43" s="482">
        <f t="shared" si="10"/>
        <v>133120.75315789474</v>
      </c>
      <c r="F43" s="483">
        <f t="shared" si="11"/>
        <v>1661284.8654066315</v>
      </c>
      <c r="G43" s="484">
        <f t="shared" si="12"/>
        <v>329646.19508983486</v>
      </c>
      <c r="H43" s="453">
        <f t="shared" si="13"/>
        <v>329646.19508983486</v>
      </c>
      <c r="I43" s="473">
        <f t="shared" si="3"/>
        <v>0</v>
      </c>
      <c r="J43" s="473"/>
      <c r="K43" s="485"/>
      <c r="L43" s="476">
        <f t="shared" si="14"/>
        <v>0</v>
      </c>
      <c r="M43" s="485"/>
      <c r="N43" s="476">
        <f t="shared" si="1"/>
        <v>0</v>
      </c>
      <c r="O43" s="476">
        <f t="shared" si="2"/>
        <v>0</v>
      </c>
      <c r="P43" s="241"/>
    </row>
    <row r="44" spans="2:16">
      <c r="B44" s="160" t="str">
        <f t="shared" si="5"/>
        <v/>
      </c>
      <c r="C44" s="470">
        <f>IF(D11="","-",+C43+1)</f>
        <v>2046</v>
      </c>
      <c r="D44" s="481">
        <f>IF(F43+SUM(E$17:E43)=D$10,F43,D$10-SUM(E$17:E43))</f>
        <v>1661284.8654066315</v>
      </c>
      <c r="E44" s="482">
        <f t="shared" si="10"/>
        <v>133120.75315789474</v>
      </c>
      <c r="F44" s="483">
        <f t="shared" si="11"/>
        <v>1528164.1122487367</v>
      </c>
      <c r="G44" s="484">
        <f t="shared" si="12"/>
        <v>314505.01565491967</v>
      </c>
      <c r="H44" s="453">
        <f t="shared" si="13"/>
        <v>314505.01565491967</v>
      </c>
      <c r="I44" s="473">
        <f t="shared" si="3"/>
        <v>0</v>
      </c>
      <c r="J44" s="473"/>
      <c r="K44" s="485"/>
      <c r="L44" s="476">
        <f t="shared" si="14"/>
        <v>0</v>
      </c>
      <c r="M44" s="485"/>
      <c r="N44" s="476">
        <f t="shared" si="1"/>
        <v>0</v>
      </c>
      <c r="O44" s="476">
        <f t="shared" si="2"/>
        <v>0</v>
      </c>
      <c r="P44" s="241"/>
    </row>
    <row r="45" spans="2:16">
      <c r="B45" s="160" t="str">
        <f t="shared" si="5"/>
        <v/>
      </c>
      <c r="C45" s="470">
        <f>IF(D11="","-",+C44+1)</f>
        <v>2047</v>
      </c>
      <c r="D45" s="481">
        <f>IF(F44+SUM(E$17:E44)=D$10,F44,D$10-SUM(E$17:E44))</f>
        <v>1528164.1122487367</v>
      </c>
      <c r="E45" s="482">
        <f t="shared" si="10"/>
        <v>133120.75315789474</v>
      </c>
      <c r="F45" s="483">
        <f t="shared" si="11"/>
        <v>1395043.3590908418</v>
      </c>
      <c r="G45" s="484">
        <f t="shared" si="12"/>
        <v>299363.8362200046</v>
      </c>
      <c r="H45" s="453">
        <f t="shared" si="13"/>
        <v>299363.8362200046</v>
      </c>
      <c r="I45" s="473">
        <f t="shared" si="3"/>
        <v>0</v>
      </c>
      <c r="J45" s="473"/>
      <c r="K45" s="485"/>
      <c r="L45" s="476">
        <f t="shared" si="14"/>
        <v>0</v>
      </c>
      <c r="M45" s="485"/>
      <c r="N45" s="476">
        <f t="shared" si="1"/>
        <v>0</v>
      </c>
      <c r="O45" s="476">
        <f t="shared" si="2"/>
        <v>0</v>
      </c>
      <c r="P45" s="241"/>
    </row>
    <row r="46" spans="2:16">
      <c r="B46" s="160" t="str">
        <f t="shared" si="5"/>
        <v/>
      </c>
      <c r="C46" s="470">
        <f>IF(D11="","-",+C45+1)</f>
        <v>2048</v>
      </c>
      <c r="D46" s="481">
        <f>IF(F45+SUM(E$17:E45)=D$10,F45,D$10-SUM(E$17:E45))</f>
        <v>1395043.3590908418</v>
      </c>
      <c r="E46" s="482">
        <f t="shared" si="10"/>
        <v>133120.75315789474</v>
      </c>
      <c r="F46" s="483">
        <f t="shared" si="11"/>
        <v>1261922.605932947</v>
      </c>
      <c r="G46" s="484">
        <f t="shared" si="12"/>
        <v>284222.65678508946</v>
      </c>
      <c r="H46" s="453">
        <f t="shared" si="13"/>
        <v>284222.65678508946</v>
      </c>
      <c r="I46" s="473">
        <f t="shared" si="3"/>
        <v>0</v>
      </c>
      <c r="J46" s="473"/>
      <c r="K46" s="485"/>
      <c r="L46" s="476">
        <f t="shared" si="14"/>
        <v>0</v>
      </c>
      <c r="M46" s="485"/>
      <c r="N46" s="476">
        <f t="shared" si="1"/>
        <v>0</v>
      </c>
      <c r="O46" s="476">
        <f t="shared" si="2"/>
        <v>0</v>
      </c>
      <c r="P46" s="241"/>
    </row>
    <row r="47" spans="2:16">
      <c r="B47" s="160" t="str">
        <f t="shared" si="5"/>
        <v/>
      </c>
      <c r="C47" s="470">
        <f>IF(D11="","-",+C46+1)</f>
        <v>2049</v>
      </c>
      <c r="D47" s="481">
        <f>IF(F46+SUM(E$17:E46)=D$10,F46,D$10-SUM(E$17:E46))</f>
        <v>1261922.605932947</v>
      </c>
      <c r="E47" s="482">
        <f t="shared" si="10"/>
        <v>133120.75315789474</v>
      </c>
      <c r="F47" s="483">
        <f t="shared" si="11"/>
        <v>1128801.8527750522</v>
      </c>
      <c r="G47" s="484">
        <f t="shared" si="12"/>
        <v>269081.47735017433</v>
      </c>
      <c r="H47" s="453">
        <f t="shared" si="13"/>
        <v>269081.47735017433</v>
      </c>
      <c r="I47" s="473">
        <f t="shared" si="3"/>
        <v>0</v>
      </c>
      <c r="J47" s="473"/>
      <c r="K47" s="485"/>
      <c r="L47" s="476">
        <f t="shared" si="14"/>
        <v>0</v>
      </c>
      <c r="M47" s="485"/>
      <c r="N47" s="476">
        <f t="shared" si="1"/>
        <v>0</v>
      </c>
      <c r="O47" s="476">
        <f t="shared" si="2"/>
        <v>0</v>
      </c>
      <c r="P47" s="241"/>
    </row>
    <row r="48" spans="2:16">
      <c r="B48" s="160" t="str">
        <f t="shared" si="5"/>
        <v/>
      </c>
      <c r="C48" s="470">
        <f>IF(D11="","-",+C47+1)</f>
        <v>2050</v>
      </c>
      <c r="D48" s="481">
        <f>IF(F47+SUM(E$17:E47)=D$10,F47,D$10-SUM(E$17:E47))</f>
        <v>1128801.8527750522</v>
      </c>
      <c r="E48" s="482">
        <f t="shared" si="10"/>
        <v>133120.75315789474</v>
      </c>
      <c r="F48" s="483">
        <f t="shared" si="11"/>
        <v>995681.09961715748</v>
      </c>
      <c r="G48" s="484">
        <f t="shared" si="12"/>
        <v>253940.29791525926</v>
      </c>
      <c r="H48" s="453">
        <f t="shared" si="13"/>
        <v>253940.29791525926</v>
      </c>
      <c r="I48" s="473">
        <f t="shared" si="3"/>
        <v>0</v>
      </c>
      <c r="J48" s="473"/>
      <c r="K48" s="485"/>
      <c r="L48" s="476">
        <f t="shared" si="14"/>
        <v>0</v>
      </c>
      <c r="M48" s="485"/>
      <c r="N48" s="476">
        <f t="shared" si="1"/>
        <v>0</v>
      </c>
      <c r="O48" s="476">
        <f t="shared" si="2"/>
        <v>0</v>
      </c>
      <c r="P48" s="241"/>
    </row>
    <row r="49" spans="2:16">
      <c r="B49" s="160" t="str">
        <f t="shared" si="5"/>
        <v/>
      </c>
      <c r="C49" s="470">
        <f>IF(D11="","-",+C48+1)</f>
        <v>2051</v>
      </c>
      <c r="D49" s="481">
        <f>IF(F48+SUM(E$17:E48)=D$10,F48,D$10-SUM(E$17:E48))</f>
        <v>995681.09961715748</v>
      </c>
      <c r="E49" s="482">
        <f t="shared" si="10"/>
        <v>133120.75315789474</v>
      </c>
      <c r="F49" s="483">
        <f t="shared" si="11"/>
        <v>862560.34645926277</v>
      </c>
      <c r="G49" s="484">
        <f t="shared" si="12"/>
        <v>238799.11848034413</v>
      </c>
      <c r="H49" s="453">
        <f t="shared" si="13"/>
        <v>238799.11848034413</v>
      </c>
      <c r="I49" s="473">
        <f t="shared" si="3"/>
        <v>0</v>
      </c>
      <c r="J49" s="473"/>
      <c r="K49" s="485"/>
      <c r="L49" s="476">
        <f t="shared" si="14"/>
        <v>0</v>
      </c>
      <c r="M49" s="485"/>
      <c r="N49" s="476">
        <f t="shared" si="1"/>
        <v>0</v>
      </c>
      <c r="O49" s="476">
        <f t="shared" si="2"/>
        <v>0</v>
      </c>
      <c r="P49" s="241"/>
    </row>
    <row r="50" spans="2:16">
      <c r="B50" s="160" t="str">
        <f t="shared" si="5"/>
        <v/>
      </c>
      <c r="C50" s="470">
        <f>IF(D11="","-",+C49+1)</f>
        <v>2052</v>
      </c>
      <c r="D50" s="481">
        <f>IF(F49+SUM(E$17:E49)=D$10,F49,D$10-SUM(E$17:E49))</f>
        <v>862560.34645926277</v>
      </c>
      <c r="E50" s="482">
        <f t="shared" si="10"/>
        <v>133120.75315789474</v>
      </c>
      <c r="F50" s="483">
        <f t="shared" si="11"/>
        <v>729439.59330136806</v>
      </c>
      <c r="G50" s="484">
        <f t="shared" si="12"/>
        <v>223657.93904542903</v>
      </c>
      <c r="H50" s="453">
        <f t="shared" si="13"/>
        <v>223657.93904542903</v>
      </c>
      <c r="I50" s="473">
        <f t="shared" si="3"/>
        <v>0</v>
      </c>
      <c r="J50" s="473"/>
      <c r="K50" s="485"/>
      <c r="L50" s="476">
        <f t="shared" si="14"/>
        <v>0</v>
      </c>
      <c r="M50" s="485"/>
      <c r="N50" s="476">
        <f t="shared" si="1"/>
        <v>0</v>
      </c>
      <c r="O50" s="476">
        <f t="shared" si="2"/>
        <v>0</v>
      </c>
      <c r="P50" s="241"/>
    </row>
    <row r="51" spans="2:16">
      <c r="B51" s="160" t="str">
        <f t="shared" si="5"/>
        <v/>
      </c>
      <c r="C51" s="470">
        <f>IF(D11="","-",+C50+1)</f>
        <v>2053</v>
      </c>
      <c r="D51" s="481">
        <f>IF(F50+SUM(E$17:E50)=D$10,F50,D$10-SUM(E$17:E50))</f>
        <v>729439.59330136806</v>
      </c>
      <c r="E51" s="482">
        <f t="shared" si="10"/>
        <v>133120.75315789474</v>
      </c>
      <c r="F51" s="483">
        <f t="shared" si="11"/>
        <v>596318.84014347335</v>
      </c>
      <c r="G51" s="484">
        <f t="shared" si="12"/>
        <v>208516.75961051389</v>
      </c>
      <c r="H51" s="453">
        <f t="shared" si="13"/>
        <v>208516.75961051389</v>
      </c>
      <c r="I51" s="473">
        <f t="shared" si="3"/>
        <v>0</v>
      </c>
      <c r="J51" s="473"/>
      <c r="K51" s="485"/>
      <c r="L51" s="476">
        <f t="shared" si="14"/>
        <v>0</v>
      </c>
      <c r="M51" s="485"/>
      <c r="N51" s="476">
        <f t="shared" si="1"/>
        <v>0</v>
      </c>
      <c r="O51" s="476">
        <f t="shared" si="2"/>
        <v>0</v>
      </c>
      <c r="P51" s="241"/>
    </row>
    <row r="52" spans="2:16">
      <c r="B52" s="160" t="str">
        <f t="shared" si="5"/>
        <v/>
      </c>
      <c r="C52" s="470">
        <f>IF(D11="","-",+C51+1)</f>
        <v>2054</v>
      </c>
      <c r="D52" s="481">
        <f>IF(F51+SUM(E$17:E51)=D$10,F51,D$10-SUM(E$17:E51))</f>
        <v>596318.84014347335</v>
      </c>
      <c r="E52" s="482">
        <f t="shared" si="10"/>
        <v>133120.75315789474</v>
      </c>
      <c r="F52" s="483">
        <f t="shared" si="11"/>
        <v>463198.08698557864</v>
      </c>
      <c r="G52" s="484">
        <f t="shared" si="12"/>
        <v>193375.58017559879</v>
      </c>
      <c r="H52" s="453">
        <f t="shared" si="13"/>
        <v>193375.58017559879</v>
      </c>
      <c r="I52" s="473">
        <f t="shared" si="3"/>
        <v>0</v>
      </c>
      <c r="J52" s="473"/>
      <c r="K52" s="485"/>
      <c r="L52" s="476">
        <f t="shared" si="14"/>
        <v>0</v>
      </c>
      <c r="M52" s="485"/>
      <c r="N52" s="476">
        <f t="shared" si="1"/>
        <v>0</v>
      </c>
      <c r="O52" s="476">
        <f t="shared" si="2"/>
        <v>0</v>
      </c>
      <c r="P52" s="241"/>
    </row>
    <row r="53" spans="2:16">
      <c r="B53" s="160" t="str">
        <f t="shared" si="5"/>
        <v/>
      </c>
      <c r="C53" s="470">
        <f>IF(D11="","-",+C52+1)</f>
        <v>2055</v>
      </c>
      <c r="D53" s="481">
        <f>IF(F52+SUM(E$17:E52)=D$10,F52,D$10-SUM(E$17:E52))</f>
        <v>463198.08698557864</v>
      </c>
      <c r="E53" s="482">
        <f t="shared" si="10"/>
        <v>133120.75315789474</v>
      </c>
      <c r="F53" s="483">
        <f t="shared" si="11"/>
        <v>330077.33382768393</v>
      </c>
      <c r="G53" s="484">
        <f t="shared" si="12"/>
        <v>178234.40074068369</v>
      </c>
      <c r="H53" s="453">
        <f t="shared" si="13"/>
        <v>178234.40074068369</v>
      </c>
      <c r="I53" s="473">
        <f t="shared" si="3"/>
        <v>0</v>
      </c>
      <c r="J53" s="473"/>
      <c r="K53" s="485"/>
      <c r="L53" s="476">
        <f t="shared" si="14"/>
        <v>0</v>
      </c>
      <c r="M53" s="485"/>
      <c r="N53" s="476">
        <f t="shared" si="1"/>
        <v>0</v>
      </c>
      <c r="O53" s="476">
        <f t="shared" si="2"/>
        <v>0</v>
      </c>
      <c r="P53" s="241"/>
    </row>
    <row r="54" spans="2:16">
      <c r="B54" s="160" t="str">
        <f t="shared" si="5"/>
        <v/>
      </c>
      <c r="C54" s="470">
        <f>IF(D11="","-",+C53+1)</f>
        <v>2056</v>
      </c>
      <c r="D54" s="481">
        <f>IF(F53+SUM(E$17:E53)=D$10,F53,D$10-SUM(E$17:E53))</f>
        <v>330077.33382768393</v>
      </c>
      <c r="E54" s="482">
        <f t="shared" si="10"/>
        <v>133120.75315789474</v>
      </c>
      <c r="F54" s="483">
        <f t="shared" si="11"/>
        <v>196956.5806697892</v>
      </c>
      <c r="G54" s="484">
        <f t="shared" si="12"/>
        <v>163093.22130576859</v>
      </c>
      <c r="H54" s="453">
        <f t="shared" si="13"/>
        <v>163093.22130576859</v>
      </c>
      <c r="I54" s="473">
        <f t="shared" si="3"/>
        <v>0</v>
      </c>
      <c r="J54" s="473"/>
      <c r="K54" s="485"/>
      <c r="L54" s="476">
        <f t="shared" si="14"/>
        <v>0</v>
      </c>
      <c r="M54" s="485"/>
      <c r="N54" s="476">
        <f t="shared" si="1"/>
        <v>0</v>
      </c>
      <c r="O54" s="476">
        <f t="shared" si="2"/>
        <v>0</v>
      </c>
      <c r="P54" s="241"/>
    </row>
    <row r="55" spans="2:16">
      <c r="B55" s="160" t="str">
        <f t="shared" si="5"/>
        <v/>
      </c>
      <c r="C55" s="470">
        <f>IF(D11="","-",+C54+1)</f>
        <v>2057</v>
      </c>
      <c r="D55" s="481">
        <f>IF(F54+SUM(E$17:E54)=D$10,F54,D$10-SUM(E$17:E54))</f>
        <v>196956.5806697892</v>
      </c>
      <c r="E55" s="482">
        <f t="shared" si="10"/>
        <v>133120.75315789474</v>
      </c>
      <c r="F55" s="483">
        <f t="shared" si="11"/>
        <v>63835.827511894458</v>
      </c>
      <c r="G55" s="484">
        <f t="shared" si="12"/>
        <v>147952.04187085346</v>
      </c>
      <c r="H55" s="453">
        <f t="shared" si="13"/>
        <v>147952.04187085346</v>
      </c>
      <c r="I55" s="473">
        <f t="shared" si="3"/>
        <v>0</v>
      </c>
      <c r="J55" s="473"/>
      <c r="K55" s="485"/>
      <c r="L55" s="476">
        <f t="shared" si="14"/>
        <v>0</v>
      </c>
      <c r="M55" s="485"/>
      <c r="N55" s="476">
        <f t="shared" si="1"/>
        <v>0</v>
      </c>
      <c r="O55" s="476">
        <f t="shared" si="2"/>
        <v>0</v>
      </c>
      <c r="P55" s="241"/>
    </row>
    <row r="56" spans="2:16">
      <c r="B56" s="160" t="str">
        <f t="shared" si="5"/>
        <v/>
      </c>
      <c r="C56" s="470">
        <f>IF(D11="","-",+C55+1)</f>
        <v>2058</v>
      </c>
      <c r="D56" s="481">
        <f>IF(F55+SUM(E$17:E55)=D$10,F55,D$10-SUM(E$17:E55))</f>
        <v>63835.827511894458</v>
      </c>
      <c r="E56" s="482">
        <f t="shared" si="10"/>
        <v>63835.827511894458</v>
      </c>
      <c r="F56" s="483">
        <f t="shared" si="11"/>
        <v>0</v>
      </c>
      <c r="G56" s="484">
        <f t="shared" si="12"/>
        <v>67466.177009645035</v>
      </c>
      <c r="H56" s="453">
        <f t="shared" si="13"/>
        <v>67466.177009645035</v>
      </c>
      <c r="I56" s="473">
        <f t="shared" si="3"/>
        <v>0</v>
      </c>
      <c r="J56" s="473"/>
      <c r="K56" s="485"/>
      <c r="L56" s="476">
        <f t="shared" si="14"/>
        <v>0</v>
      </c>
      <c r="M56" s="485"/>
      <c r="N56" s="476">
        <f t="shared" si="1"/>
        <v>0</v>
      </c>
      <c r="O56" s="476">
        <f t="shared" si="2"/>
        <v>0</v>
      </c>
      <c r="P56" s="241"/>
    </row>
    <row r="57" spans="2:16">
      <c r="B57" s="160" t="str">
        <f t="shared" si="5"/>
        <v/>
      </c>
      <c r="C57" s="470">
        <f>IF(D11="","-",+C56+1)</f>
        <v>2059</v>
      </c>
      <c r="D57" s="481">
        <f>IF(F56+SUM(E$17:E56)=D$10,F56,D$10-SUM(E$17:E56))</f>
        <v>0</v>
      </c>
      <c r="E57" s="482">
        <f t="shared" si="10"/>
        <v>0</v>
      </c>
      <c r="F57" s="483">
        <f t="shared" si="11"/>
        <v>0</v>
      </c>
      <c r="G57" s="484">
        <f t="shared" si="12"/>
        <v>0</v>
      </c>
      <c r="H57" s="453">
        <f t="shared" si="13"/>
        <v>0</v>
      </c>
      <c r="I57" s="473">
        <f t="shared" si="3"/>
        <v>0</v>
      </c>
      <c r="J57" s="473"/>
      <c r="K57" s="485"/>
      <c r="L57" s="476">
        <f t="shared" si="14"/>
        <v>0</v>
      </c>
      <c r="M57" s="485"/>
      <c r="N57" s="476">
        <f t="shared" si="1"/>
        <v>0</v>
      </c>
      <c r="O57" s="476">
        <f t="shared" si="2"/>
        <v>0</v>
      </c>
      <c r="P57" s="241"/>
    </row>
    <row r="58" spans="2:16">
      <c r="B58" s="160" t="str">
        <f t="shared" si="5"/>
        <v/>
      </c>
      <c r="C58" s="470">
        <f>IF(D11="","-",+C57+1)</f>
        <v>2060</v>
      </c>
      <c r="D58" s="481">
        <f>IF(F57+SUM(E$17:E57)=D$10,F57,D$10-SUM(E$17:E57))</f>
        <v>0</v>
      </c>
      <c r="E58" s="482">
        <f t="shared" si="10"/>
        <v>0</v>
      </c>
      <c r="F58" s="483">
        <f t="shared" si="11"/>
        <v>0</v>
      </c>
      <c r="G58" s="484">
        <f t="shared" si="12"/>
        <v>0</v>
      </c>
      <c r="H58" s="453">
        <f t="shared" si="13"/>
        <v>0</v>
      </c>
      <c r="I58" s="473">
        <f t="shared" si="3"/>
        <v>0</v>
      </c>
      <c r="J58" s="473"/>
      <c r="K58" s="485"/>
      <c r="L58" s="476">
        <f t="shared" si="14"/>
        <v>0</v>
      </c>
      <c r="M58" s="485"/>
      <c r="N58" s="476">
        <f t="shared" si="1"/>
        <v>0</v>
      </c>
      <c r="O58" s="476">
        <f t="shared" si="2"/>
        <v>0</v>
      </c>
      <c r="P58" s="241"/>
    </row>
    <row r="59" spans="2:16">
      <c r="B59" s="160" t="str">
        <f t="shared" si="5"/>
        <v/>
      </c>
      <c r="C59" s="470">
        <f>IF(D11="","-",+C58+1)</f>
        <v>2061</v>
      </c>
      <c r="D59" s="481">
        <f>IF(F58+SUM(E$17:E58)=D$10,F58,D$10-SUM(E$17:E58))</f>
        <v>0</v>
      </c>
      <c r="E59" s="482">
        <f t="shared" si="10"/>
        <v>0</v>
      </c>
      <c r="F59" s="483">
        <f t="shared" si="11"/>
        <v>0</v>
      </c>
      <c r="G59" s="484">
        <f t="shared" si="12"/>
        <v>0</v>
      </c>
      <c r="H59" s="453">
        <f t="shared" si="13"/>
        <v>0</v>
      </c>
      <c r="I59" s="473">
        <f t="shared" si="3"/>
        <v>0</v>
      </c>
      <c r="J59" s="473"/>
      <c r="K59" s="485"/>
      <c r="L59" s="476">
        <f t="shared" si="14"/>
        <v>0</v>
      </c>
      <c r="M59" s="485"/>
      <c r="N59" s="476">
        <f t="shared" si="1"/>
        <v>0</v>
      </c>
      <c r="O59" s="476">
        <f t="shared" si="2"/>
        <v>0</v>
      </c>
      <c r="P59" s="241"/>
    </row>
    <row r="60" spans="2:16">
      <c r="B60" s="160" t="str">
        <f t="shared" si="5"/>
        <v/>
      </c>
      <c r="C60" s="470">
        <f>IF(D11="","-",+C59+1)</f>
        <v>2062</v>
      </c>
      <c r="D60" s="481">
        <f>IF(F59+SUM(E$17:E59)=D$10,F59,D$10-SUM(E$17:E59))</f>
        <v>0</v>
      </c>
      <c r="E60" s="482">
        <f t="shared" si="10"/>
        <v>0</v>
      </c>
      <c r="F60" s="483">
        <f t="shared" si="11"/>
        <v>0</v>
      </c>
      <c r="G60" s="484">
        <f t="shared" si="12"/>
        <v>0</v>
      </c>
      <c r="H60" s="453">
        <f t="shared" si="13"/>
        <v>0</v>
      </c>
      <c r="I60" s="473">
        <f t="shared" si="3"/>
        <v>0</v>
      </c>
      <c r="J60" s="473"/>
      <c r="K60" s="485"/>
      <c r="L60" s="476">
        <f t="shared" si="14"/>
        <v>0</v>
      </c>
      <c r="M60" s="485"/>
      <c r="N60" s="476">
        <f t="shared" si="1"/>
        <v>0</v>
      </c>
      <c r="O60" s="476">
        <f t="shared" si="2"/>
        <v>0</v>
      </c>
      <c r="P60" s="241"/>
    </row>
    <row r="61" spans="2:16">
      <c r="B61" s="160" t="str">
        <f t="shared" si="5"/>
        <v/>
      </c>
      <c r="C61" s="470">
        <f>IF(D11="","-",+C60+1)</f>
        <v>2063</v>
      </c>
      <c r="D61" s="481">
        <f>IF(F60+SUM(E$17:E60)=D$10,F60,D$10-SUM(E$17:E60))</f>
        <v>0</v>
      </c>
      <c r="E61" s="482">
        <f t="shared" si="10"/>
        <v>0</v>
      </c>
      <c r="F61" s="483">
        <f t="shared" si="11"/>
        <v>0</v>
      </c>
      <c r="G61" s="484">
        <f t="shared" si="12"/>
        <v>0</v>
      </c>
      <c r="H61" s="453">
        <f t="shared" si="13"/>
        <v>0</v>
      </c>
      <c r="I61" s="473">
        <f t="shared" si="3"/>
        <v>0</v>
      </c>
      <c r="J61" s="473"/>
      <c r="K61" s="485"/>
      <c r="L61" s="476">
        <f t="shared" si="14"/>
        <v>0</v>
      </c>
      <c r="M61" s="485"/>
      <c r="N61" s="476">
        <f t="shared" si="1"/>
        <v>0</v>
      </c>
      <c r="O61" s="476">
        <f t="shared" si="2"/>
        <v>0</v>
      </c>
      <c r="P61" s="241"/>
    </row>
    <row r="62" spans="2:16">
      <c r="B62" s="160" t="str">
        <f t="shared" si="5"/>
        <v/>
      </c>
      <c r="C62" s="470">
        <f>IF(D11="","-",+C61+1)</f>
        <v>2064</v>
      </c>
      <c r="D62" s="481">
        <f>IF(F61+SUM(E$17:E61)=D$10,F61,D$10-SUM(E$17:E61))</f>
        <v>0</v>
      </c>
      <c r="E62" s="482">
        <f t="shared" si="10"/>
        <v>0</v>
      </c>
      <c r="F62" s="483">
        <f t="shared" si="11"/>
        <v>0</v>
      </c>
      <c r="G62" s="484">
        <f t="shared" si="12"/>
        <v>0</v>
      </c>
      <c r="H62" s="453">
        <f t="shared" si="13"/>
        <v>0</v>
      </c>
      <c r="I62" s="473">
        <f t="shared" si="3"/>
        <v>0</v>
      </c>
      <c r="J62" s="473"/>
      <c r="K62" s="485"/>
      <c r="L62" s="476">
        <f t="shared" si="14"/>
        <v>0</v>
      </c>
      <c r="M62" s="485"/>
      <c r="N62" s="476">
        <f t="shared" si="1"/>
        <v>0</v>
      </c>
      <c r="O62" s="476">
        <f t="shared" si="2"/>
        <v>0</v>
      </c>
      <c r="P62" s="241"/>
    </row>
    <row r="63" spans="2:16">
      <c r="B63" s="160" t="str">
        <f t="shared" si="5"/>
        <v/>
      </c>
      <c r="C63" s="470">
        <f>IF(D11="","-",+C62+1)</f>
        <v>2065</v>
      </c>
      <c r="D63" s="481">
        <f>IF(F62+SUM(E$17:E62)=D$10,F62,D$10-SUM(E$17:E62))</f>
        <v>0</v>
      </c>
      <c r="E63" s="482">
        <f t="shared" si="10"/>
        <v>0</v>
      </c>
      <c r="F63" s="483">
        <f t="shared" si="11"/>
        <v>0</v>
      </c>
      <c r="G63" s="484">
        <f t="shared" si="12"/>
        <v>0</v>
      </c>
      <c r="H63" s="453">
        <f t="shared" si="13"/>
        <v>0</v>
      </c>
      <c r="I63" s="473">
        <f t="shared" si="3"/>
        <v>0</v>
      </c>
      <c r="J63" s="473"/>
      <c r="K63" s="485"/>
      <c r="L63" s="476">
        <f t="shared" si="14"/>
        <v>0</v>
      </c>
      <c r="M63" s="485"/>
      <c r="N63" s="476">
        <f t="shared" si="1"/>
        <v>0</v>
      </c>
      <c r="O63" s="476">
        <f t="shared" si="2"/>
        <v>0</v>
      </c>
      <c r="P63" s="241"/>
    </row>
    <row r="64" spans="2:16">
      <c r="B64" s="160" t="str">
        <f t="shared" si="5"/>
        <v/>
      </c>
      <c r="C64" s="470">
        <f>IF(D11="","-",+C63+1)</f>
        <v>2066</v>
      </c>
      <c r="D64" s="481">
        <f>IF(F63+SUM(E$17:E63)=D$10,F63,D$10-SUM(E$17:E63))</f>
        <v>0</v>
      </c>
      <c r="E64" s="482">
        <f t="shared" si="10"/>
        <v>0</v>
      </c>
      <c r="F64" s="483">
        <f t="shared" si="11"/>
        <v>0</v>
      </c>
      <c r="G64" s="484">
        <f t="shared" si="12"/>
        <v>0</v>
      </c>
      <c r="H64" s="453">
        <f t="shared" si="13"/>
        <v>0</v>
      </c>
      <c r="I64" s="473">
        <f t="shared" si="3"/>
        <v>0</v>
      </c>
      <c r="J64" s="473"/>
      <c r="K64" s="485"/>
      <c r="L64" s="476">
        <f t="shared" si="14"/>
        <v>0</v>
      </c>
      <c r="M64" s="485"/>
      <c r="N64" s="476">
        <f t="shared" si="1"/>
        <v>0</v>
      </c>
      <c r="O64" s="476">
        <f t="shared" si="2"/>
        <v>0</v>
      </c>
      <c r="P64" s="241"/>
    </row>
    <row r="65" spans="2:16">
      <c r="B65" s="160" t="str">
        <f t="shared" si="5"/>
        <v/>
      </c>
      <c r="C65" s="470">
        <f>IF(D11="","-",+C64+1)</f>
        <v>2067</v>
      </c>
      <c r="D65" s="481">
        <f>IF(F64+SUM(E$17:E64)=D$10,F64,D$10-SUM(E$17:E64))</f>
        <v>0</v>
      </c>
      <c r="E65" s="482">
        <f t="shared" si="10"/>
        <v>0</v>
      </c>
      <c r="F65" s="483">
        <f t="shared" si="11"/>
        <v>0</v>
      </c>
      <c r="G65" s="484">
        <f t="shared" si="12"/>
        <v>0</v>
      </c>
      <c r="H65" s="453">
        <f t="shared" si="13"/>
        <v>0</v>
      </c>
      <c r="I65" s="473">
        <f t="shared" si="3"/>
        <v>0</v>
      </c>
      <c r="J65" s="473"/>
      <c r="K65" s="485"/>
      <c r="L65" s="476">
        <f t="shared" si="14"/>
        <v>0</v>
      </c>
      <c r="M65" s="485"/>
      <c r="N65" s="476">
        <f t="shared" si="1"/>
        <v>0</v>
      </c>
      <c r="O65" s="476">
        <f t="shared" si="2"/>
        <v>0</v>
      </c>
      <c r="P65" s="241"/>
    </row>
    <row r="66" spans="2:16">
      <c r="B66" s="160" t="str">
        <f t="shared" si="5"/>
        <v/>
      </c>
      <c r="C66" s="470">
        <f>IF(D11="","-",+C65+1)</f>
        <v>2068</v>
      </c>
      <c r="D66" s="481">
        <f>IF(F65+SUM(E$17:E65)=D$10,F65,D$10-SUM(E$17:E65))</f>
        <v>0</v>
      </c>
      <c r="E66" s="482">
        <f t="shared" si="10"/>
        <v>0</v>
      </c>
      <c r="F66" s="483">
        <f t="shared" si="11"/>
        <v>0</v>
      </c>
      <c r="G66" s="484">
        <f t="shared" si="12"/>
        <v>0</v>
      </c>
      <c r="H66" s="453">
        <f t="shared" si="13"/>
        <v>0</v>
      </c>
      <c r="I66" s="473">
        <f t="shared" si="3"/>
        <v>0</v>
      </c>
      <c r="J66" s="473"/>
      <c r="K66" s="485"/>
      <c r="L66" s="476">
        <f t="shared" si="14"/>
        <v>0</v>
      </c>
      <c r="M66" s="485"/>
      <c r="N66" s="476">
        <f t="shared" si="1"/>
        <v>0</v>
      </c>
      <c r="O66" s="476">
        <f t="shared" si="2"/>
        <v>0</v>
      </c>
      <c r="P66" s="241"/>
    </row>
    <row r="67" spans="2:16">
      <c r="B67" s="160" t="str">
        <f t="shared" si="5"/>
        <v/>
      </c>
      <c r="C67" s="470">
        <f>IF(D11="","-",+C66+1)</f>
        <v>2069</v>
      </c>
      <c r="D67" s="481">
        <f>IF(F66+SUM(E$17:E66)=D$10,F66,D$10-SUM(E$17:E66))</f>
        <v>0</v>
      </c>
      <c r="E67" s="482">
        <f t="shared" si="10"/>
        <v>0</v>
      </c>
      <c r="F67" s="483">
        <f t="shared" si="11"/>
        <v>0</v>
      </c>
      <c r="G67" s="484">
        <f t="shared" si="12"/>
        <v>0</v>
      </c>
      <c r="H67" s="453">
        <f t="shared" si="13"/>
        <v>0</v>
      </c>
      <c r="I67" s="473">
        <f t="shared" si="3"/>
        <v>0</v>
      </c>
      <c r="J67" s="473"/>
      <c r="K67" s="485"/>
      <c r="L67" s="476">
        <f t="shared" si="14"/>
        <v>0</v>
      </c>
      <c r="M67" s="485"/>
      <c r="N67" s="476">
        <f t="shared" si="1"/>
        <v>0</v>
      </c>
      <c r="O67" s="476">
        <f t="shared" si="2"/>
        <v>0</v>
      </c>
      <c r="P67" s="241"/>
    </row>
    <row r="68" spans="2:16">
      <c r="B68" s="160" t="str">
        <f t="shared" si="5"/>
        <v/>
      </c>
      <c r="C68" s="470">
        <f>IF(D11="","-",+C67+1)</f>
        <v>2070</v>
      </c>
      <c r="D68" s="481">
        <f>IF(F67+SUM(E$17:E67)=D$10,F67,D$10-SUM(E$17:E67))</f>
        <v>0</v>
      </c>
      <c r="E68" s="482">
        <f t="shared" si="10"/>
        <v>0</v>
      </c>
      <c r="F68" s="483">
        <f t="shared" si="11"/>
        <v>0</v>
      </c>
      <c r="G68" s="484">
        <f t="shared" si="12"/>
        <v>0</v>
      </c>
      <c r="H68" s="453">
        <f t="shared" si="13"/>
        <v>0</v>
      </c>
      <c r="I68" s="473">
        <f t="shared" si="3"/>
        <v>0</v>
      </c>
      <c r="J68" s="473"/>
      <c r="K68" s="485"/>
      <c r="L68" s="476">
        <f t="shared" si="14"/>
        <v>0</v>
      </c>
      <c r="M68" s="485"/>
      <c r="N68" s="476">
        <f t="shared" si="1"/>
        <v>0</v>
      </c>
      <c r="O68" s="476">
        <f t="shared" si="2"/>
        <v>0</v>
      </c>
      <c r="P68" s="241"/>
    </row>
    <row r="69" spans="2:16">
      <c r="B69" s="160" t="str">
        <f t="shared" si="5"/>
        <v/>
      </c>
      <c r="C69" s="470">
        <f>IF(D11="","-",+C68+1)</f>
        <v>2071</v>
      </c>
      <c r="D69" s="481">
        <f>IF(F68+SUM(E$17:E68)=D$10,F68,D$10-SUM(E$17:E68))</f>
        <v>0</v>
      </c>
      <c r="E69" s="482">
        <f t="shared" si="10"/>
        <v>0</v>
      </c>
      <c r="F69" s="483">
        <f t="shared" si="11"/>
        <v>0</v>
      </c>
      <c r="G69" s="484">
        <f t="shared" si="12"/>
        <v>0</v>
      </c>
      <c r="H69" s="453">
        <f t="shared" si="13"/>
        <v>0</v>
      </c>
      <c r="I69" s="473">
        <f t="shared" si="3"/>
        <v>0</v>
      </c>
      <c r="J69" s="473"/>
      <c r="K69" s="485"/>
      <c r="L69" s="476">
        <f t="shared" si="14"/>
        <v>0</v>
      </c>
      <c r="M69" s="485"/>
      <c r="N69" s="476">
        <f t="shared" si="1"/>
        <v>0</v>
      </c>
      <c r="O69" s="476">
        <f t="shared" si="2"/>
        <v>0</v>
      </c>
      <c r="P69" s="241"/>
    </row>
    <row r="70" spans="2:16">
      <c r="B70" s="160" t="str">
        <f t="shared" si="5"/>
        <v/>
      </c>
      <c r="C70" s="470">
        <f>IF(D11="","-",+C69+1)</f>
        <v>2072</v>
      </c>
      <c r="D70" s="481">
        <f>IF(F69+SUM(E$17:E69)=D$10,F69,D$10-SUM(E$17:E69))</f>
        <v>0</v>
      </c>
      <c r="E70" s="482">
        <f t="shared" si="10"/>
        <v>0</v>
      </c>
      <c r="F70" s="483">
        <f t="shared" si="11"/>
        <v>0</v>
      </c>
      <c r="G70" s="484">
        <f t="shared" si="12"/>
        <v>0</v>
      </c>
      <c r="H70" s="453">
        <f t="shared" si="13"/>
        <v>0</v>
      </c>
      <c r="I70" s="473">
        <f t="shared" si="3"/>
        <v>0</v>
      </c>
      <c r="J70" s="473"/>
      <c r="K70" s="485"/>
      <c r="L70" s="476">
        <f t="shared" si="14"/>
        <v>0</v>
      </c>
      <c r="M70" s="485"/>
      <c r="N70" s="476">
        <f t="shared" si="1"/>
        <v>0</v>
      </c>
      <c r="O70" s="476">
        <f t="shared" si="2"/>
        <v>0</v>
      </c>
      <c r="P70" s="241"/>
    </row>
    <row r="71" spans="2:16">
      <c r="B71" s="160" t="str">
        <f t="shared" si="5"/>
        <v/>
      </c>
      <c r="C71" s="470">
        <f>IF(D11="","-",+C70+1)</f>
        <v>2073</v>
      </c>
      <c r="D71" s="481">
        <f>IF(F70+SUM(E$17:E70)=D$10,F70,D$10-SUM(E$17:E70))</f>
        <v>0</v>
      </c>
      <c r="E71" s="482">
        <f t="shared" si="10"/>
        <v>0</v>
      </c>
      <c r="F71" s="483">
        <f t="shared" si="11"/>
        <v>0</v>
      </c>
      <c r="G71" s="484">
        <f t="shared" si="12"/>
        <v>0</v>
      </c>
      <c r="H71" s="453">
        <f t="shared" si="13"/>
        <v>0</v>
      </c>
      <c r="I71" s="473">
        <f t="shared" si="3"/>
        <v>0</v>
      </c>
      <c r="J71" s="473"/>
      <c r="K71" s="485"/>
      <c r="L71" s="476">
        <f t="shared" si="14"/>
        <v>0</v>
      </c>
      <c r="M71" s="485"/>
      <c r="N71" s="476">
        <f t="shared" si="1"/>
        <v>0</v>
      </c>
      <c r="O71" s="476">
        <f t="shared" si="2"/>
        <v>0</v>
      </c>
      <c r="P71" s="241"/>
    </row>
    <row r="72" spans="2:16" ht="13.5" thickBot="1">
      <c r="B72" s="160" t="str">
        <f t="shared" si="5"/>
        <v/>
      </c>
      <c r="C72" s="487">
        <f>IF(D11="","-",+C71+1)</f>
        <v>2074</v>
      </c>
      <c r="D72" s="610">
        <f>IF(F71+SUM(E$17:E71)=D$10,F71,D$10-SUM(E$17:E71))</f>
        <v>0</v>
      </c>
      <c r="E72" s="489">
        <f>IF(+I$14&lt;F71,I$14,D72)</f>
        <v>0</v>
      </c>
      <c r="F72" s="488">
        <f>+D72-E72</f>
        <v>0</v>
      </c>
      <c r="G72" s="542">
        <f>(D72+F72)/2*I$12+E72</f>
        <v>0</v>
      </c>
      <c r="H72" s="433">
        <f>+(D72+F72)/2*I$13+E72</f>
        <v>0</v>
      </c>
      <c r="I72" s="491">
        <f>H72-G72</f>
        <v>0</v>
      </c>
      <c r="J72" s="473"/>
      <c r="K72" s="492"/>
      <c r="L72" s="493">
        <f t="shared" si="14"/>
        <v>0</v>
      </c>
      <c r="M72" s="492"/>
      <c r="N72" s="493">
        <f t="shared" si="1"/>
        <v>0</v>
      </c>
      <c r="O72" s="493">
        <f t="shared" si="2"/>
        <v>0</v>
      </c>
      <c r="P72" s="241"/>
    </row>
    <row r="73" spans="2:16">
      <c r="C73" s="345" t="s">
        <v>77</v>
      </c>
      <c r="D73" s="346"/>
      <c r="E73" s="346">
        <f>SUM(E17:E72)</f>
        <v>5058588.6200000029</v>
      </c>
      <c r="F73" s="346"/>
      <c r="G73" s="346">
        <f>SUM(G17:G72)</f>
        <v>16341875.617622415</v>
      </c>
      <c r="H73" s="346">
        <f>SUM(H17:H72)</f>
        <v>16341875.617622415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27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635766.39004328649</v>
      </c>
      <c r="N87" s="506">
        <f>IF(J92&lt;D11,0,VLOOKUP(J92,C17:O72,11))</f>
        <v>635766.39004328649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643177.91264105588</v>
      </c>
      <c r="N88" s="510">
        <f>IF(J92&lt;D11,0,VLOOKUP(J92,C99:P154,7))</f>
        <v>643177.91264105588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Broken Arrow North-Lynn Lane East 138 kV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7411.5225977693917</v>
      </c>
      <c r="N89" s="515">
        <f>+N88-N87</f>
        <v>7411.5225977693917</v>
      </c>
      <c r="O89" s="516">
        <f>+O88-O87</f>
        <v>0</v>
      </c>
      <c r="P89" s="231"/>
    </row>
    <row r="90" spans="1:16" ht="13.5" thickBot="1">
      <c r="C90" s="494"/>
      <c r="D90" s="517">
        <f>D8</f>
        <v>0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TP2017016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524">
        <v>5058589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v>2019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v>3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123380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2019</v>
      </c>
      <c r="D99" s="582">
        <v>0</v>
      </c>
      <c r="E99" s="606">
        <v>92534.25</v>
      </c>
      <c r="F99" s="582">
        <v>4965987.75</v>
      </c>
      <c r="G99" s="606">
        <v>2482993.875</v>
      </c>
      <c r="H99" s="585">
        <v>348565.74518479535</v>
      </c>
      <c r="I99" s="605">
        <v>348565.74518479535</v>
      </c>
      <c r="J99" s="476">
        <f>+I99-H99</f>
        <v>0</v>
      </c>
      <c r="K99" s="476"/>
      <c r="L99" s="475">
        <f>+H99</f>
        <v>348565.74518479535</v>
      </c>
      <c r="M99" s="475">
        <f t="shared" ref="M99" si="15">IF(L99&lt;&gt;0,+H99-L99,0)</f>
        <v>0</v>
      </c>
      <c r="N99" s="475">
        <f>+I99</f>
        <v>348565.74518479535</v>
      </c>
      <c r="O99" s="475">
        <f t="shared" ref="O99:O130" si="16">IF(N99&lt;&gt;0,+I99-N99,0)</f>
        <v>0</v>
      </c>
      <c r="P99" s="475">
        <f t="shared" ref="P99:P130" si="17">+O99-M99</f>
        <v>0</v>
      </c>
    </row>
    <row r="100" spans="1:16">
      <c r="B100" s="160" t="str">
        <f>IF(D100=F99,"","IU")</f>
        <v>IU</v>
      </c>
      <c r="C100" s="470">
        <f>IF(D93="","-",+C99+1)</f>
        <v>2020</v>
      </c>
      <c r="D100" s="576">
        <v>4966054.75</v>
      </c>
      <c r="E100" s="577">
        <v>117642</v>
      </c>
      <c r="F100" s="576">
        <v>4848412.75</v>
      </c>
      <c r="G100" s="577">
        <v>4907233.75</v>
      </c>
      <c r="H100" s="600">
        <v>683432.56004823186</v>
      </c>
      <c r="I100" s="576">
        <v>683432.56004823186</v>
      </c>
      <c r="J100" s="476">
        <f t="shared" ref="J100:J130" si="18">+I100-H100</f>
        <v>0</v>
      </c>
      <c r="K100" s="476"/>
      <c r="L100" s="474">
        <f>H100</f>
        <v>683432.56004823186</v>
      </c>
      <c r="M100" s="347">
        <f>IF(L100&lt;&gt;0,+H100-L100,0)</f>
        <v>0</v>
      </c>
      <c r="N100" s="474">
        <f>I100</f>
        <v>683432.56004823186</v>
      </c>
      <c r="O100" s="476">
        <f t="shared" si="16"/>
        <v>0</v>
      </c>
      <c r="P100" s="476">
        <f t="shared" si="17"/>
        <v>0</v>
      </c>
    </row>
    <row r="101" spans="1:16">
      <c r="B101" s="160" t="str">
        <f t="shared" ref="B101:B154" si="19">IF(D101=F100,"","IU")</f>
        <v/>
      </c>
      <c r="C101" s="470">
        <f>IF(D93="","-",+C100+1)</f>
        <v>2021</v>
      </c>
      <c r="D101" s="576">
        <v>4848412.75</v>
      </c>
      <c r="E101" s="577">
        <v>123380</v>
      </c>
      <c r="F101" s="576">
        <v>4725032.75</v>
      </c>
      <c r="G101" s="577">
        <v>4786722.75</v>
      </c>
      <c r="H101" s="600">
        <v>668074.55118974927</v>
      </c>
      <c r="I101" s="576">
        <v>668074.55118974927</v>
      </c>
      <c r="J101" s="476">
        <f t="shared" si="18"/>
        <v>0</v>
      </c>
      <c r="K101" s="476"/>
      <c r="L101" s="474">
        <f>H101</f>
        <v>668074.55118974927</v>
      </c>
      <c r="M101" s="347">
        <f>IF(L101&lt;&gt;0,+H101-L101,0)</f>
        <v>0</v>
      </c>
      <c r="N101" s="474">
        <f>I101</f>
        <v>668074.55118974927</v>
      </c>
      <c r="O101" s="476">
        <f t="shared" ref="O101" si="20">IF(N101&lt;&gt;0,+I101-N101,0)</f>
        <v>0</v>
      </c>
      <c r="P101" s="476">
        <f t="shared" ref="P101" si="21">+O101-M101</f>
        <v>0</v>
      </c>
    </row>
    <row r="102" spans="1:16">
      <c r="B102" s="160" t="str">
        <f t="shared" si="19"/>
        <v/>
      </c>
      <c r="C102" s="631">
        <f>IF(D93="","-",+C101+1)</f>
        <v>2022</v>
      </c>
      <c r="D102" s="345">
        <v>4725032.75</v>
      </c>
      <c r="E102" s="482">
        <v>129707</v>
      </c>
      <c r="F102" s="483">
        <v>4595325.75</v>
      </c>
      <c r="G102" s="483">
        <v>4660179.25</v>
      </c>
      <c r="H102" s="611">
        <v>643177.91264105588</v>
      </c>
      <c r="I102" s="612">
        <v>643177.91264105588</v>
      </c>
      <c r="J102" s="476">
        <f t="shared" si="18"/>
        <v>0</v>
      </c>
      <c r="K102" s="476"/>
      <c r="L102" s="485"/>
      <c r="M102" s="476">
        <f t="shared" ref="M102:M130" si="22">IF(L102&lt;&gt;0,+H102-L102,0)</f>
        <v>0</v>
      </c>
      <c r="N102" s="485"/>
      <c r="O102" s="476">
        <f t="shared" si="16"/>
        <v>0</v>
      </c>
      <c r="P102" s="476">
        <f t="shared" si="17"/>
        <v>0</v>
      </c>
    </row>
    <row r="103" spans="1:16">
      <c r="B103" s="160" t="str">
        <f t="shared" si="19"/>
        <v/>
      </c>
      <c r="C103" s="470">
        <f>IF(D93="","-",+C102+1)</f>
        <v>2023</v>
      </c>
      <c r="D103" s="345">
        <f>IF(F102+SUM(E$99:E102)=D$92,F102,D$92-SUM(E$99:E102))</f>
        <v>4595325.75</v>
      </c>
      <c r="E103" s="482">
        <f t="shared" ref="E103:E154" si="23">IF(+J$96&lt;F102,J$96,D103)</f>
        <v>123380</v>
      </c>
      <c r="F103" s="483">
        <f t="shared" ref="F103:F154" si="24">+D103-E103</f>
        <v>4471945.75</v>
      </c>
      <c r="G103" s="483">
        <f t="shared" ref="G103:G154" si="25">+(F103+D103)/2</f>
        <v>4533635.75</v>
      </c>
      <c r="H103" s="611">
        <f t="shared" ref="H103:H154" si="26">+J$94*G103+E103</f>
        <v>639275.07457979512</v>
      </c>
      <c r="I103" s="612">
        <f t="shared" ref="I103:I154" si="27">+J$95*G103+E103</f>
        <v>639275.07457979512</v>
      </c>
      <c r="J103" s="476">
        <f t="shared" si="18"/>
        <v>0</v>
      </c>
      <c r="K103" s="476"/>
      <c r="L103" s="485"/>
      <c r="M103" s="476">
        <f t="shared" si="22"/>
        <v>0</v>
      </c>
      <c r="N103" s="485"/>
      <c r="O103" s="476">
        <f t="shared" si="16"/>
        <v>0</v>
      </c>
      <c r="P103" s="476">
        <f t="shared" si="17"/>
        <v>0</v>
      </c>
    </row>
    <row r="104" spans="1:16">
      <c r="B104" s="160" t="str">
        <f t="shared" si="19"/>
        <v/>
      </c>
      <c r="C104" s="470">
        <f>IF(D93="","-",+C103+1)</f>
        <v>2024</v>
      </c>
      <c r="D104" s="345">
        <f>IF(F103+SUM(E$99:E103)=D$92,F103,D$92-SUM(E$99:E103))</f>
        <v>4471945.75</v>
      </c>
      <c r="E104" s="482">
        <f t="shared" si="23"/>
        <v>123380</v>
      </c>
      <c r="F104" s="483">
        <f t="shared" si="24"/>
        <v>4348565.75</v>
      </c>
      <c r="G104" s="483">
        <f t="shared" si="25"/>
        <v>4410255.75</v>
      </c>
      <c r="H104" s="611">
        <f t="shared" si="26"/>
        <v>625235.31977557321</v>
      </c>
      <c r="I104" s="612">
        <f t="shared" si="27"/>
        <v>625235.31977557321</v>
      </c>
      <c r="J104" s="476">
        <f t="shared" si="18"/>
        <v>0</v>
      </c>
      <c r="K104" s="476"/>
      <c r="L104" s="485"/>
      <c r="M104" s="476">
        <f t="shared" si="22"/>
        <v>0</v>
      </c>
      <c r="N104" s="485"/>
      <c r="O104" s="476">
        <f t="shared" si="16"/>
        <v>0</v>
      </c>
      <c r="P104" s="476">
        <f t="shared" si="17"/>
        <v>0</v>
      </c>
    </row>
    <row r="105" spans="1:16">
      <c r="B105" s="160" t="str">
        <f t="shared" si="19"/>
        <v/>
      </c>
      <c r="C105" s="470">
        <f>IF(D93="","-",+C104+1)</f>
        <v>2025</v>
      </c>
      <c r="D105" s="345">
        <f>IF(F104+SUM(E$99:E104)=D$92,F104,D$92-SUM(E$99:E104))</f>
        <v>4348565.75</v>
      </c>
      <c r="E105" s="482">
        <f t="shared" si="23"/>
        <v>123380</v>
      </c>
      <c r="F105" s="483">
        <f t="shared" si="24"/>
        <v>4225185.75</v>
      </c>
      <c r="G105" s="483">
        <f t="shared" si="25"/>
        <v>4286875.75</v>
      </c>
      <c r="H105" s="611">
        <f t="shared" si="26"/>
        <v>611195.56497135118</v>
      </c>
      <c r="I105" s="612">
        <f t="shared" si="27"/>
        <v>611195.56497135118</v>
      </c>
      <c r="J105" s="476">
        <f t="shared" si="18"/>
        <v>0</v>
      </c>
      <c r="K105" s="476"/>
      <c r="L105" s="485"/>
      <c r="M105" s="476">
        <f t="shared" si="22"/>
        <v>0</v>
      </c>
      <c r="N105" s="485"/>
      <c r="O105" s="476">
        <f t="shared" si="16"/>
        <v>0</v>
      </c>
      <c r="P105" s="476">
        <f t="shared" si="17"/>
        <v>0</v>
      </c>
    </row>
    <row r="106" spans="1:16">
      <c r="B106" s="160" t="str">
        <f t="shared" si="19"/>
        <v/>
      </c>
      <c r="C106" s="470">
        <f>IF(D93="","-",+C105+1)</f>
        <v>2026</v>
      </c>
      <c r="D106" s="345">
        <f>IF(F105+SUM(E$99:E105)=D$92,F105,D$92-SUM(E$99:E105))</f>
        <v>4225185.75</v>
      </c>
      <c r="E106" s="482">
        <f t="shared" si="23"/>
        <v>123380</v>
      </c>
      <c r="F106" s="483">
        <f t="shared" si="24"/>
        <v>4101805.75</v>
      </c>
      <c r="G106" s="483">
        <f t="shared" si="25"/>
        <v>4163495.75</v>
      </c>
      <c r="H106" s="611">
        <f t="shared" si="26"/>
        <v>597155.81016712915</v>
      </c>
      <c r="I106" s="612">
        <f t="shared" si="27"/>
        <v>597155.81016712915</v>
      </c>
      <c r="J106" s="476">
        <f t="shared" si="18"/>
        <v>0</v>
      </c>
      <c r="K106" s="476"/>
      <c r="L106" s="485"/>
      <c r="M106" s="476">
        <f t="shared" si="22"/>
        <v>0</v>
      </c>
      <c r="N106" s="485"/>
      <c r="O106" s="476">
        <f t="shared" si="16"/>
        <v>0</v>
      </c>
      <c r="P106" s="476">
        <f t="shared" si="17"/>
        <v>0</v>
      </c>
    </row>
    <row r="107" spans="1:16">
      <c r="B107" s="160" t="str">
        <f t="shared" si="19"/>
        <v/>
      </c>
      <c r="C107" s="470">
        <f>IF(D93="","-",+C106+1)</f>
        <v>2027</v>
      </c>
      <c r="D107" s="345">
        <f>IF(F106+SUM(E$99:E106)=D$92,F106,D$92-SUM(E$99:E106))</f>
        <v>4101805.75</v>
      </c>
      <c r="E107" s="482">
        <f t="shared" si="23"/>
        <v>123380</v>
      </c>
      <c r="F107" s="483">
        <f t="shared" si="24"/>
        <v>3978425.75</v>
      </c>
      <c r="G107" s="483">
        <f t="shared" si="25"/>
        <v>4040115.75</v>
      </c>
      <c r="H107" s="611">
        <f t="shared" si="26"/>
        <v>583116.05536290724</v>
      </c>
      <c r="I107" s="612">
        <f t="shared" si="27"/>
        <v>583116.05536290724</v>
      </c>
      <c r="J107" s="476">
        <f t="shared" si="18"/>
        <v>0</v>
      </c>
      <c r="K107" s="476"/>
      <c r="L107" s="485"/>
      <c r="M107" s="476">
        <f t="shared" si="22"/>
        <v>0</v>
      </c>
      <c r="N107" s="485"/>
      <c r="O107" s="476">
        <f t="shared" si="16"/>
        <v>0</v>
      </c>
      <c r="P107" s="476">
        <f t="shared" si="17"/>
        <v>0</v>
      </c>
    </row>
    <row r="108" spans="1:16">
      <c r="B108" s="160" t="str">
        <f t="shared" si="19"/>
        <v/>
      </c>
      <c r="C108" s="470">
        <f>IF(D93="","-",+C107+1)</f>
        <v>2028</v>
      </c>
      <c r="D108" s="345">
        <f>IF(F107+SUM(E$99:E107)=D$92,F107,D$92-SUM(E$99:E107))</f>
        <v>3978425.75</v>
      </c>
      <c r="E108" s="482">
        <f t="shared" si="23"/>
        <v>123380</v>
      </c>
      <c r="F108" s="483">
        <f t="shared" si="24"/>
        <v>3855045.75</v>
      </c>
      <c r="G108" s="483">
        <f t="shared" si="25"/>
        <v>3916735.75</v>
      </c>
      <c r="H108" s="611">
        <f t="shared" si="26"/>
        <v>569076.30055868509</v>
      </c>
      <c r="I108" s="612">
        <f t="shared" si="27"/>
        <v>569076.30055868509</v>
      </c>
      <c r="J108" s="476">
        <f t="shared" si="18"/>
        <v>0</v>
      </c>
      <c r="K108" s="476"/>
      <c r="L108" s="485"/>
      <c r="M108" s="476">
        <f t="shared" si="22"/>
        <v>0</v>
      </c>
      <c r="N108" s="485"/>
      <c r="O108" s="476">
        <f t="shared" si="16"/>
        <v>0</v>
      </c>
      <c r="P108" s="476">
        <f t="shared" si="17"/>
        <v>0</v>
      </c>
    </row>
    <row r="109" spans="1:16">
      <c r="B109" s="160" t="str">
        <f t="shared" si="19"/>
        <v/>
      </c>
      <c r="C109" s="470">
        <f>IF(D93="","-",+C108+1)</f>
        <v>2029</v>
      </c>
      <c r="D109" s="345">
        <f>IF(F108+SUM(E$99:E108)=D$92,F108,D$92-SUM(E$99:E108))</f>
        <v>3855045.75</v>
      </c>
      <c r="E109" s="482">
        <f t="shared" si="23"/>
        <v>123380</v>
      </c>
      <c r="F109" s="483">
        <f t="shared" si="24"/>
        <v>3731665.75</v>
      </c>
      <c r="G109" s="483">
        <f t="shared" si="25"/>
        <v>3793355.75</v>
      </c>
      <c r="H109" s="611">
        <f t="shared" si="26"/>
        <v>555036.54575446318</v>
      </c>
      <c r="I109" s="612">
        <f t="shared" si="27"/>
        <v>555036.54575446318</v>
      </c>
      <c r="J109" s="476">
        <f t="shared" si="18"/>
        <v>0</v>
      </c>
      <c r="K109" s="476"/>
      <c r="L109" s="485"/>
      <c r="M109" s="476">
        <f t="shared" si="22"/>
        <v>0</v>
      </c>
      <c r="N109" s="485"/>
      <c r="O109" s="476">
        <f t="shared" si="16"/>
        <v>0</v>
      </c>
      <c r="P109" s="476">
        <f t="shared" si="17"/>
        <v>0</v>
      </c>
    </row>
    <row r="110" spans="1:16">
      <c r="B110" s="160" t="str">
        <f t="shared" si="19"/>
        <v/>
      </c>
      <c r="C110" s="470">
        <f>IF(D93="","-",+C109+1)</f>
        <v>2030</v>
      </c>
      <c r="D110" s="345">
        <f>IF(F109+SUM(E$99:E109)=D$92,F109,D$92-SUM(E$99:E109))</f>
        <v>3731665.75</v>
      </c>
      <c r="E110" s="482">
        <f t="shared" si="23"/>
        <v>123380</v>
      </c>
      <c r="F110" s="483">
        <f t="shared" si="24"/>
        <v>3608285.75</v>
      </c>
      <c r="G110" s="483">
        <f t="shared" si="25"/>
        <v>3669975.75</v>
      </c>
      <c r="H110" s="611">
        <f t="shared" si="26"/>
        <v>540996.79095024115</v>
      </c>
      <c r="I110" s="612">
        <f t="shared" si="27"/>
        <v>540996.79095024115</v>
      </c>
      <c r="J110" s="476">
        <f t="shared" si="18"/>
        <v>0</v>
      </c>
      <c r="K110" s="476"/>
      <c r="L110" s="485"/>
      <c r="M110" s="476">
        <f t="shared" si="22"/>
        <v>0</v>
      </c>
      <c r="N110" s="485"/>
      <c r="O110" s="476">
        <f t="shared" si="16"/>
        <v>0</v>
      </c>
      <c r="P110" s="476">
        <f t="shared" si="17"/>
        <v>0</v>
      </c>
    </row>
    <row r="111" spans="1:16">
      <c r="B111" s="160" t="str">
        <f t="shared" si="19"/>
        <v/>
      </c>
      <c r="C111" s="470">
        <f>IF(D93="","-",+C110+1)</f>
        <v>2031</v>
      </c>
      <c r="D111" s="345">
        <f>IF(F110+SUM(E$99:E110)=D$92,F110,D$92-SUM(E$99:E110))</f>
        <v>3608285.75</v>
      </c>
      <c r="E111" s="482">
        <f t="shared" si="23"/>
        <v>123380</v>
      </c>
      <c r="F111" s="483">
        <f t="shared" si="24"/>
        <v>3484905.75</v>
      </c>
      <c r="G111" s="483">
        <f t="shared" si="25"/>
        <v>3546595.75</v>
      </c>
      <c r="H111" s="611">
        <f t="shared" si="26"/>
        <v>526957.03614601912</v>
      </c>
      <c r="I111" s="612">
        <f t="shared" si="27"/>
        <v>526957.03614601912</v>
      </c>
      <c r="J111" s="476">
        <f t="shared" si="18"/>
        <v>0</v>
      </c>
      <c r="K111" s="476"/>
      <c r="L111" s="485"/>
      <c r="M111" s="476">
        <f t="shared" si="22"/>
        <v>0</v>
      </c>
      <c r="N111" s="485"/>
      <c r="O111" s="476">
        <f t="shared" si="16"/>
        <v>0</v>
      </c>
      <c r="P111" s="476">
        <f t="shared" si="17"/>
        <v>0</v>
      </c>
    </row>
    <row r="112" spans="1:16">
      <c r="B112" s="160" t="str">
        <f t="shared" si="19"/>
        <v/>
      </c>
      <c r="C112" s="470">
        <f>IF(D93="","-",+C111+1)</f>
        <v>2032</v>
      </c>
      <c r="D112" s="345">
        <f>IF(F111+SUM(E$99:E111)=D$92,F111,D$92-SUM(E$99:E111))</f>
        <v>3484905.75</v>
      </c>
      <c r="E112" s="482">
        <f t="shared" si="23"/>
        <v>123380</v>
      </c>
      <c r="F112" s="483">
        <f t="shared" si="24"/>
        <v>3361525.75</v>
      </c>
      <c r="G112" s="483">
        <f t="shared" si="25"/>
        <v>3423215.75</v>
      </c>
      <c r="H112" s="611">
        <f t="shared" si="26"/>
        <v>512917.28134179715</v>
      </c>
      <c r="I112" s="612">
        <f t="shared" si="27"/>
        <v>512917.28134179715</v>
      </c>
      <c r="J112" s="476">
        <f t="shared" si="18"/>
        <v>0</v>
      </c>
      <c r="K112" s="476"/>
      <c r="L112" s="485"/>
      <c r="M112" s="476">
        <f t="shared" si="22"/>
        <v>0</v>
      </c>
      <c r="N112" s="485"/>
      <c r="O112" s="476">
        <f t="shared" si="16"/>
        <v>0</v>
      </c>
      <c r="P112" s="476">
        <f t="shared" si="17"/>
        <v>0</v>
      </c>
    </row>
    <row r="113" spans="2:16">
      <c r="B113" s="160" t="str">
        <f t="shared" si="19"/>
        <v/>
      </c>
      <c r="C113" s="470">
        <f>IF(D93="","-",+C112+1)</f>
        <v>2033</v>
      </c>
      <c r="D113" s="345">
        <f>IF(F112+SUM(E$99:E112)=D$92,F112,D$92-SUM(E$99:E112))</f>
        <v>3361525.75</v>
      </c>
      <c r="E113" s="482">
        <f t="shared" si="23"/>
        <v>123380</v>
      </c>
      <c r="F113" s="483">
        <f t="shared" si="24"/>
        <v>3238145.75</v>
      </c>
      <c r="G113" s="483">
        <f t="shared" si="25"/>
        <v>3299835.75</v>
      </c>
      <c r="H113" s="611">
        <f t="shared" si="26"/>
        <v>498877.52653757512</v>
      </c>
      <c r="I113" s="612">
        <f t="shared" si="27"/>
        <v>498877.52653757512</v>
      </c>
      <c r="J113" s="476">
        <f t="shared" si="18"/>
        <v>0</v>
      </c>
      <c r="K113" s="476"/>
      <c r="L113" s="485"/>
      <c r="M113" s="476">
        <f t="shared" si="22"/>
        <v>0</v>
      </c>
      <c r="N113" s="485"/>
      <c r="O113" s="476">
        <f t="shared" si="16"/>
        <v>0</v>
      </c>
      <c r="P113" s="476">
        <f t="shared" si="17"/>
        <v>0</v>
      </c>
    </row>
    <row r="114" spans="2:16">
      <c r="B114" s="160" t="str">
        <f t="shared" si="19"/>
        <v/>
      </c>
      <c r="C114" s="470">
        <f>IF(D93="","-",+C113+1)</f>
        <v>2034</v>
      </c>
      <c r="D114" s="345">
        <f>IF(F113+SUM(E$99:E113)=D$92,F113,D$92-SUM(E$99:E113))</f>
        <v>3238145.75</v>
      </c>
      <c r="E114" s="482">
        <f t="shared" si="23"/>
        <v>123380</v>
      </c>
      <c r="F114" s="483">
        <f t="shared" si="24"/>
        <v>3114765.75</v>
      </c>
      <c r="G114" s="483">
        <f t="shared" si="25"/>
        <v>3176455.75</v>
      </c>
      <c r="H114" s="611">
        <f t="shared" si="26"/>
        <v>484837.77173335315</v>
      </c>
      <c r="I114" s="612">
        <f t="shared" si="27"/>
        <v>484837.77173335315</v>
      </c>
      <c r="J114" s="476">
        <f t="shared" si="18"/>
        <v>0</v>
      </c>
      <c r="K114" s="476"/>
      <c r="L114" s="485"/>
      <c r="M114" s="476">
        <f t="shared" si="22"/>
        <v>0</v>
      </c>
      <c r="N114" s="485"/>
      <c r="O114" s="476">
        <f t="shared" si="16"/>
        <v>0</v>
      </c>
      <c r="P114" s="476">
        <f t="shared" si="17"/>
        <v>0</v>
      </c>
    </row>
    <row r="115" spans="2:16">
      <c r="B115" s="160" t="str">
        <f t="shared" si="19"/>
        <v/>
      </c>
      <c r="C115" s="470">
        <f>IF(D93="","-",+C114+1)</f>
        <v>2035</v>
      </c>
      <c r="D115" s="345">
        <f>IF(F114+SUM(E$99:E114)=D$92,F114,D$92-SUM(E$99:E114))</f>
        <v>3114765.75</v>
      </c>
      <c r="E115" s="482">
        <f t="shared" si="23"/>
        <v>123380</v>
      </c>
      <c r="F115" s="483">
        <f t="shared" si="24"/>
        <v>2991385.75</v>
      </c>
      <c r="G115" s="483">
        <f t="shared" si="25"/>
        <v>3053075.75</v>
      </c>
      <c r="H115" s="611">
        <f t="shared" si="26"/>
        <v>470798.01692913112</v>
      </c>
      <c r="I115" s="612">
        <f t="shared" si="27"/>
        <v>470798.01692913112</v>
      </c>
      <c r="J115" s="476">
        <f t="shared" si="18"/>
        <v>0</v>
      </c>
      <c r="K115" s="476"/>
      <c r="L115" s="485"/>
      <c r="M115" s="476">
        <f t="shared" si="22"/>
        <v>0</v>
      </c>
      <c r="N115" s="485"/>
      <c r="O115" s="476">
        <f t="shared" si="16"/>
        <v>0</v>
      </c>
      <c r="P115" s="476">
        <f t="shared" si="17"/>
        <v>0</v>
      </c>
    </row>
    <row r="116" spans="2:16">
      <c r="B116" s="160" t="str">
        <f t="shared" si="19"/>
        <v/>
      </c>
      <c r="C116" s="470">
        <f>IF(D93="","-",+C115+1)</f>
        <v>2036</v>
      </c>
      <c r="D116" s="345">
        <f>IF(F115+SUM(E$99:E115)=D$92,F115,D$92-SUM(E$99:E115))</f>
        <v>2991385.75</v>
      </c>
      <c r="E116" s="482">
        <f t="shared" si="23"/>
        <v>123380</v>
      </c>
      <c r="F116" s="483">
        <f t="shared" si="24"/>
        <v>2868005.75</v>
      </c>
      <c r="G116" s="483">
        <f t="shared" si="25"/>
        <v>2929695.75</v>
      </c>
      <c r="H116" s="611">
        <f t="shared" si="26"/>
        <v>456758.26212490915</v>
      </c>
      <c r="I116" s="612">
        <f t="shared" si="27"/>
        <v>456758.26212490915</v>
      </c>
      <c r="J116" s="476">
        <f t="shared" si="18"/>
        <v>0</v>
      </c>
      <c r="K116" s="476"/>
      <c r="L116" s="485"/>
      <c r="M116" s="476">
        <f t="shared" si="22"/>
        <v>0</v>
      </c>
      <c r="N116" s="485"/>
      <c r="O116" s="476">
        <f t="shared" si="16"/>
        <v>0</v>
      </c>
      <c r="P116" s="476">
        <f t="shared" si="17"/>
        <v>0</v>
      </c>
    </row>
    <row r="117" spans="2:16">
      <c r="B117" s="160" t="str">
        <f t="shared" si="19"/>
        <v/>
      </c>
      <c r="C117" s="470">
        <f>IF(D93="","-",+C116+1)</f>
        <v>2037</v>
      </c>
      <c r="D117" s="345">
        <f>IF(F116+SUM(E$99:E116)=D$92,F116,D$92-SUM(E$99:E116))</f>
        <v>2868005.75</v>
      </c>
      <c r="E117" s="482">
        <f t="shared" si="23"/>
        <v>123380</v>
      </c>
      <c r="F117" s="483">
        <f t="shared" si="24"/>
        <v>2744625.75</v>
      </c>
      <c r="G117" s="483">
        <f t="shared" si="25"/>
        <v>2806315.75</v>
      </c>
      <c r="H117" s="611">
        <f t="shared" si="26"/>
        <v>442718.50732068712</v>
      </c>
      <c r="I117" s="612">
        <f t="shared" si="27"/>
        <v>442718.50732068712</v>
      </c>
      <c r="J117" s="476">
        <f t="shared" si="18"/>
        <v>0</v>
      </c>
      <c r="K117" s="476"/>
      <c r="L117" s="485"/>
      <c r="M117" s="476">
        <f t="shared" si="22"/>
        <v>0</v>
      </c>
      <c r="N117" s="485"/>
      <c r="O117" s="476">
        <f t="shared" si="16"/>
        <v>0</v>
      </c>
      <c r="P117" s="476">
        <f t="shared" si="17"/>
        <v>0</v>
      </c>
    </row>
    <row r="118" spans="2:16">
      <c r="B118" s="160" t="str">
        <f t="shared" si="19"/>
        <v/>
      </c>
      <c r="C118" s="470">
        <f>IF(D93="","-",+C117+1)</f>
        <v>2038</v>
      </c>
      <c r="D118" s="345">
        <f>IF(F117+SUM(E$99:E117)=D$92,F117,D$92-SUM(E$99:E117))</f>
        <v>2744625.75</v>
      </c>
      <c r="E118" s="482">
        <f t="shared" si="23"/>
        <v>123380</v>
      </c>
      <c r="F118" s="483">
        <f t="shared" si="24"/>
        <v>2621245.75</v>
      </c>
      <c r="G118" s="483">
        <f t="shared" si="25"/>
        <v>2682935.75</v>
      </c>
      <c r="H118" s="611">
        <f t="shared" si="26"/>
        <v>428678.75251646515</v>
      </c>
      <c r="I118" s="612">
        <f t="shared" si="27"/>
        <v>428678.75251646515</v>
      </c>
      <c r="J118" s="476">
        <f t="shared" si="18"/>
        <v>0</v>
      </c>
      <c r="K118" s="476"/>
      <c r="L118" s="485"/>
      <c r="M118" s="476">
        <f t="shared" si="22"/>
        <v>0</v>
      </c>
      <c r="N118" s="485"/>
      <c r="O118" s="476">
        <f t="shared" si="16"/>
        <v>0</v>
      </c>
      <c r="P118" s="476">
        <f t="shared" si="17"/>
        <v>0</v>
      </c>
    </row>
    <row r="119" spans="2:16">
      <c r="B119" s="160" t="str">
        <f t="shared" si="19"/>
        <v/>
      </c>
      <c r="C119" s="470">
        <f>IF(D93="","-",+C118+1)</f>
        <v>2039</v>
      </c>
      <c r="D119" s="345">
        <f>IF(F118+SUM(E$99:E118)=D$92,F118,D$92-SUM(E$99:E118))</f>
        <v>2621245.75</v>
      </c>
      <c r="E119" s="482">
        <f t="shared" si="23"/>
        <v>123380</v>
      </c>
      <c r="F119" s="483">
        <f t="shared" si="24"/>
        <v>2497865.75</v>
      </c>
      <c r="G119" s="483">
        <f t="shared" si="25"/>
        <v>2559555.75</v>
      </c>
      <c r="H119" s="611">
        <f t="shared" si="26"/>
        <v>414638.99771224312</v>
      </c>
      <c r="I119" s="612">
        <f t="shared" si="27"/>
        <v>414638.99771224312</v>
      </c>
      <c r="J119" s="476">
        <f t="shared" si="18"/>
        <v>0</v>
      </c>
      <c r="K119" s="476"/>
      <c r="L119" s="485"/>
      <c r="M119" s="476">
        <f t="shared" si="22"/>
        <v>0</v>
      </c>
      <c r="N119" s="485"/>
      <c r="O119" s="476">
        <f t="shared" si="16"/>
        <v>0</v>
      </c>
      <c r="P119" s="476">
        <f t="shared" si="17"/>
        <v>0</v>
      </c>
    </row>
    <row r="120" spans="2:16">
      <c r="B120" s="160" t="str">
        <f t="shared" si="19"/>
        <v/>
      </c>
      <c r="C120" s="470">
        <f>IF(D93="","-",+C119+1)</f>
        <v>2040</v>
      </c>
      <c r="D120" s="345">
        <f>IF(F119+SUM(E$99:E119)=D$92,F119,D$92-SUM(E$99:E119))</f>
        <v>2497865.75</v>
      </c>
      <c r="E120" s="482">
        <f t="shared" si="23"/>
        <v>123380</v>
      </c>
      <c r="F120" s="483">
        <f t="shared" si="24"/>
        <v>2374485.75</v>
      </c>
      <c r="G120" s="483">
        <f t="shared" si="25"/>
        <v>2436175.75</v>
      </c>
      <c r="H120" s="611">
        <f t="shared" si="26"/>
        <v>400599.24290802109</v>
      </c>
      <c r="I120" s="612">
        <f t="shared" si="27"/>
        <v>400599.24290802109</v>
      </c>
      <c r="J120" s="476">
        <f t="shared" si="18"/>
        <v>0</v>
      </c>
      <c r="K120" s="476"/>
      <c r="L120" s="485"/>
      <c r="M120" s="476">
        <f t="shared" si="22"/>
        <v>0</v>
      </c>
      <c r="N120" s="485"/>
      <c r="O120" s="476">
        <f t="shared" si="16"/>
        <v>0</v>
      </c>
      <c r="P120" s="476">
        <f t="shared" si="17"/>
        <v>0</v>
      </c>
    </row>
    <row r="121" spans="2:16">
      <c r="B121" s="160" t="str">
        <f t="shared" si="19"/>
        <v/>
      </c>
      <c r="C121" s="470">
        <f>IF(D93="","-",+C120+1)</f>
        <v>2041</v>
      </c>
      <c r="D121" s="345">
        <f>IF(F120+SUM(E$99:E120)=D$92,F120,D$92-SUM(E$99:E120))</f>
        <v>2374485.75</v>
      </c>
      <c r="E121" s="482">
        <f t="shared" si="23"/>
        <v>123380</v>
      </c>
      <c r="F121" s="483">
        <f t="shared" si="24"/>
        <v>2251105.75</v>
      </c>
      <c r="G121" s="483">
        <f t="shared" si="25"/>
        <v>2312795.75</v>
      </c>
      <c r="H121" s="611">
        <f t="shared" si="26"/>
        <v>386559.48810379911</v>
      </c>
      <c r="I121" s="612">
        <f t="shared" si="27"/>
        <v>386559.48810379911</v>
      </c>
      <c r="J121" s="476">
        <f t="shared" si="18"/>
        <v>0</v>
      </c>
      <c r="K121" s="476"/>
      <c r="L121" s="485"/>
      <c r="M121" s="476">
        <f t="shared" si="22"/>
        <v>0</v>
      </c>
      <c r="N121" s="485"/>
      <c r="O121" s="476">
        <f t="shared" si="16"/>
        <v>0</v>
      </c>
      <c r="P121" s="476">
        <f t="shared" si="17"/>
        <v>0</v>
      </c>
    </row>
    <row r="122" spans="2:16">
      <c r="B122" s="160" t="str">
        <f t="shared" si="19"/>
        <v/>
      </c>
      <c r="C122" s="470">
        <f>IF(D93="","-",+C121+1)</f>
        <v>2042</v>
      </c>
      <c r="D122" s="345">
        <f>IF(F121+SUM(E$99:E121)=D$92,F121,D$92-SUM(E$99:E121))</f>
        <v>2251105.75</v>
      </c>
      <c r="E122" s="482">
        <f t="shared" si="23"/>
        <v>123380</v>
      </c>
      <c r="F122" s="483">
        <f t="shared" si="24"/>
        <v>2127725.75</v>
      </c>
      <c r="G122" s="483">
        <f t="shared" si="25"/>
        <v>2189415.75</v>
      </c>
      <c r="H122" s="611">
        <f t="shared" si="26"/>
        <v>372519.73329957714</v>
      </c>
      <c r="I122" s="612">
        <f t="shared" si="27"/>
        <v>372519.73329957714</v>
      </c>
      <c r="J122" s="476">
        <f t="shared" si="18"/>
        <v>0</v>
      </c>
      <c r="K122" s="476"/>
      <c r="L122" s="485"/>
      <c r="M122" s="476">
        <f t="shared" si="22"/>
        <v>0</v>
      </c>
      <c r="N122" s="485"/>
      <c r="O122" s="476">
        <f t="shared" si="16"/>
        <v>0</v>
      </c>
      <c r="P122" s="476">
        <f t="shared" si="17"/>
        <v>0</v>
      </c>
    </row>
    <row r="123" spans="2:16">
      <c r="B123" s="160" t="str">
        <f t="shared" si="19"/>
        <v/>
      </c>
      <c r="C123" s="470">
        <f>IF(D93="","-",+C122+1)</f>
        <v>2043</v>
      </c>
      <c r="D123" s="345">
        <f>IF(F122+SUM(E$99:E122)=D$92,F122,D$92-SUM(E$99:E122))</f>
        <v>2127725.75</v>
      </c>
      <c r="E123" s="482">
        <f t="shared" si="23"/>
        <v>123380</v>
      </c>
      <c r="F123" s="483">
        <f t="shared" si="24"/>
        <v>2004345.75</v>
      </c>
      <c r="G123" s="483">
        <f t="shared" si="25"/>
        <v>2066035.75</v>
      </c>
      <c r="H123" s="611">
        <f t="shared" si="26"/>
        <v>358479.97849535511</v>
      </c>
      <c r="I123" s="612">
        <f t="shared" si="27"/>
        <v>358479.97849535511</v>
      </c>
      <c r="J123" s="476">
        <f t="shared" si="18"/>
        <v>0</v>
      </c>
      <c r="K123" s="476"/>
      <c r="L123" s="485"/>
      <c r="M123" s="476">
        <f t="shared" si="22"/>
        <v>0</v>
      </c>
      <c r="N123" s="485"/>
      <c r="O123" s="476">
        <f t="shared" si="16"/>
        <v>0</v>
      </c>
      <c r="P123" s="476">
        <f t="shared" si="17"/>
        <v>0</v>
      </c>
    </row>
    <row r="124" spans="2:16">
      <c r="B124" s="160" t="str">
        <f t="shared" si="19"/>
        <v/>
      </c>
      <c r="C124" s="470">
        <f>IF(D93="","-",+C123+1)</f>
        <v>2044</v>
      </c>
      <c r="D124" s="345">
        <f>IF(F123+SUM(E$99:E123)=D$92,F123,D$92-SUM(E$99:E123))</f>
        <v>2004345.75</v>
      </c>
      <c r="E124" s="482">
        <f t="shared" si="23"/>
        <v>123380</v>
      </c>
      <c r="F124" s="483">
        <f t="shared" si="24"/>
        <v>1880965.75</v>
      </c>
      <c r="G124" s="483">
        <f t="shared" si="25"/>
        <v>1942655.75</v>
      </c>
      <c r="H124" s="611">
        <f t="shared" si="26"/>
        <v>344440.22369113308</v>
      </c>
      <c r="I124" s="612">
        <f t="shared" si="27"/>
        <v>344440.22369113308</v>
      </c>
      <c r="J124" s="476">
        <f t="shared" si="18"/>
        <v>0</v>
      </c>
      <c r="K124" s="476"/>
      <c r="L124" s="485"/>
      <c r="M124" s="476">
        <f t="shared" si="22"/>
        <v>0</v>
      </c>
      <c r="N124" s="485"/>
      <c r="O124" s="476">
        <f t="shared" si="16"/>
        <v>0</v>
      </c>
      <c r="P124" s="476">
        <f t="shared" si="17"/>
        <v>0</v>
      </c>
    </row>
    <row r="125" spans="2:16">
      <c r="B125" s="160" t="str">
        <f t="shared" si="19"/>
        <v/>
      </c>
      <c r="C125" s="470">
        <f>IF(D93="","-",+C124+1)</f>
        <v>2045</v>
      </c>
      <c r="D125" s="345">
        <f>IF(F124+SUM(E$99:E124)=D$92,F124,D$92-SUM(E$99:E124))</f>
        <v>1880965.75</v>
      </c>
      <c r="E125" s="482">
        <f t="shared" si="23"/>
        <v>123380</v>
      </c>
      <c r="F125" s="483">
        <f t="shared" si="24"/>
        <v>1757585.75</v>
      </c>
      <c r="G125" s="483">
        <f t="shared" si="25"/>
        <v>1819275.75</v>
      </c>
      <c r="H125" s="611">
        <f t="shared" si="26"/>
        <v>330400.46888691105</v>
      </c>
      <c r="I125" s="612">
        <f t="shared" si="27"/>
        <v>330400.46888691105</v>
      </c>
      <c r="J125" s="476">
        <f t="shared" si="18"/>
        <v>0</v>
      </c>
      <c r="K125" s="476"/>
      <c r="L125" s="485"/>
      <c r="M125" s="476">
        <f t="shared" si="22"/>
        <v>0</v>
      </c>
      <c r="N125" s="485"/>
      <c r="O125" s="476">
        <f t="shared" si="16"/>
        <v>0</v>
      </c>
      <c r="P125" s="476">
        <f t="shared" si="17"/>
        <v>0</v>
      </c>
    </row>
    <row r="126" spans="2:16">
      <c r="B126" s="160" t="str">
        <f t="shared" si="19"/>
        <v/>
      </c>
      <c r="C126" s="470">
        <f>IF(D93="","-",+C125+1)</f>
        <v>2046</v>
      </c>
      <c r="D126" s="345">
        <f>IF(F125+SUM(E$99:E125)=D$92,F125,D$92-SUM(E$99:E125))</f>
        <v>1757585.75</v>
      </c>
      <c r="E126" s="482">
        <f t="shared" si="23"/>
        <v>123380</v>
      </c>
      <c r="F126" s="483">
        <f t="shared" si="24"/>
        <v>1634205.75</v>
      </c>
      <c r="G126" s="483">
        <f t="shared" si="25"/>
        <v>1695895.75</v>
      </c>
      <c r="H126" s="611">
        <f t="shared" si="26"/>
        <v>316360.71408268908</v>
      </c>
      <c r="I126" s="612">
        <f t="shared" si="27"/>
        <v>316360.71408268908</v>
      </c>
      <c r="J126" s="476">
        <f t="shared" si="18"/>
        <v>0</v>
      </c>
      <c r="K126" s="476"/>
      <c r="L126" s="485"/>
      <c r="M126" s="476">
        <f t="shared" si="22"/>
        <v>0</v>
      </c>
      <c r="N126" s="485"/>
      <c r="O126" s="476">
        <f t="shared" si="16"/>
        <v>0</v>
      </c>
      <c r="P126" s="476">
        <f t="shared" si="17"/>
        <v>0</v>
      </c>
    </row>
    <row r="127" spans="2:16">
      <c r="B127" s="160" t="str">
        <f t="shared" si="19"/>
        <v/>
      </c>
      <c r="C127" s="470">
        <f>IF(D93="","-",+C126+1)</f>
        <v>2047</v>
      </c>
      <c r="D127" s="345">
        <f>IF(F126+SUM(E$99:E126)=D$92,F126,D$92-SUM(E$99:E126))</f>
        <v>1634205.75</v>
      </c>
      <c r="E127" s="482">
        <f t="shared" si="23"/>
        <v>123380</v>
      </c>
      <c r="F127" s="483">
        <f t="shared" si="24"/>
        <v>1510825.75</v>
      </c>
      <c r="G127" s="483">
        <f t="shared" si="25"/>
        <v>1572515.75</v>
      </c>
      <c r="H127" s="611">
        <f t="shared" si="26"/>
        <v>302320.95927846711</v>
      </c>
      <c r="I127" s="612">
        <f t="shared" si="27"/>
        <v>302320.95927846711</v>
      </c>
      <c r="J127" s="476">
        <f t="shared" si="18"/>
        <v>0</v>
      </c>
      <c r="K127" s="476"/>
      <c r="L127" s="485"/>
      <c r="M127" s="476">
        <f t="shared" si="22"/>
        <v>0</v>
      </c>
      <c r="N127" s="485"/>
      <c r="O127" s="476">
        <f t="shared" si="16"/>
        <v>0</v>
      </c>
      <c r="P127" s="476">
        <f t="shared" si="17"/>
        <v>0</v>
      </c>
    </row>
    <row r="128" spans="2:16">
      <c r="B128" s="160" t="str">
        <f t="shared" si="19"/>
        <v/>
      </c>
      <c r="C128" s="470">
        <f>IF(D93="","-",+C127+1)</f>
        <v>2048</v>
      </c>
      <c r="D128" s="345">
        <f>IF(F127+SUM(E$99:E127)=D$92,F127,D$92-SUM(E$99:E127))</f>
        <v>1510825.75</v>
      </c>
      <c r="E128" s="482">
        <f t="shared" si="23"/>
        <v>123380</v>
      </c>
      <c r="F128" s="483">
        <f t="shared" si="24"/>
        <v>1387445.75</v>
      </c>
      <c r="G128" s="483">
        <f t="shared" si="25"/>
        <v>1449135.75</v>
      </c>
      <c r="H128" s="611">
        <f t="shared" si="26"/>
        <v>288281.20447424508</v>
      </c>
      <c r="I128" s="612">
        <f t="shared" si="27"/>
        <v>288281.20447424508</v>
      </c>
      <c r="J128" s="476">
        <f t="shared" si="18"/>
        <v>0</v>
      </c>
      <c r="K128" s="476"/>
      <c r="L128" s="485"/>
      <c r="M128" s="476">
        <f t="shared" si="22"/>
        <v>0</v>
      </c>
      <c r="N128" s="485"/>
      <c r="O128" s="476">
        <f t="shared" si="16"/>
        <v>0</v>
      </c>
      <c r="P128" s="476">
        <f t="shared" si="17"/>
        <v>0</v>
      </c>
    </row>
    <row r="129" spans="2:16">
      <c r="B129" s="160" t="str">
        <f t="shared" si="19"/>
        <v/>
      </c>
      <c r="C129" s="470">
        <f>IF(D93="","-",+C128+1)</f>
        <v>2049</v>
      </c>
      <c r="D129" s="345">
        <f>IF(F128+SUM(E$99:E128)=D$92,F128,D$92-SUM(E$99:E128))</f>
        <v>1387445.75</v>
      </c>
      <c r="E129" s="482">
        <f t="shared" si="23"/>
        <v>123380</v>
      </c>
      <c r="F129" s="483">
        <f t="shared" si="24"/>
        <v>1264065.75</v>
      </c>
      <c r="G129" s="483">
        <f t="shared" si="25"/>
        <v>1325755.75</v>
      </c>
      <c r="H129" s="611">
        <f t="shared" si="26"/>
        <v>274241.44967002305</v>
      </c>
      <c r="I129" s="612">
        <f t="shared" si="27"/>
        <v>274241.44967002305</v>
      </c>
      <c r="J129" s="476">
        <f t="shared" si="18"/>
        <v>0</v>
      </c>
      <c r="K129" s="476"/>
      <c r="L129" s="485"/>
      <c r="M129" s="476">
        <f t="shared" si="22"/>
        <v>0</v>
      </c>
      <c r="N129" s="485"/>
      <c r="O129" s="476">
        <f t="shared" si="16"/>
        <v>0</v>
      </c>
      <c r="P129" s="476">
        <f t="shared" si="17"/>
        <v>0</v>
      </c>
    </row>
    <row r="130" spans="2:16">
      <c r="B130" s="160" t="str">
        <f t="shared" si="19"/>
        <v/>
      </c>
      <c r="C130" s="470">
        <f>IF(D93="","-",+C129+1)</f>
        <v>2050</v>
      </c>
      <c r="D130" s="345">
        <f>IF(F129+SUM(E$99:E129)=D$92,F129,D$92-SUM(E$99:E129))</f>
        <v>1264065.75</v>
      </c>
      <c r="E130" s="482">
        <f t="shared" si="23"/>
        <v>123380</v>
      </c>
      <c r="F130" s="483">
        <f t="shared" si="24"/>
        <v>1140685.75</v>
      </c>
      <c r="G130" s="483">
        <f t="shared" si="25"/>
        <v>1202375.75</v>
      </c>
      <c r="H130" s="611">
        <f t="shared" si="26"/>
        <v>260201.69486580108</v>
      </c>
      <c r="I130" s="612">
        <f t="shared" si="27"/>
        <v>260201.69486580108</v>
      </c>
      <c r="J130" s="476">
        <f t="shared" si="18"/>
        <v>0</v>
      </c>
      <c r="K130" s="476"/>
      <c r="L130" s="485"/>
      <c r="M130" s="476">
        <f t="shared" si="22"/>
        <v>0</v>
      </c>
      <c r="N130" s="485"/>
      <c r="O130" s="476">
        <f t="shared" si="16"/>
        <v>0</v>
      </c>
      <c r="P130" s="476">
        <f t="shared" si="17"/>
        <v>0</v>
      </c>
    </row>
    <row r="131" spans="2:16">
      <c r="B131" s="160" t="str">
        <f t="shared" si="19"/>
        <v/>
      </c>
      <c r="C131" s="470">
        <f>IF(D93="","-",+C130+1)</f>
        <v>2051</v>
      </c>
      <c r="D131" s="345">
        <f>IF(F130+SUM(E$99:E130)=D$92,F130,D$92-SUM(E$99:E130))</f>
        <v>1140685.75</v>
      </c>
      <c r="E131" s="482">
        <f t="shared" si="23"/>
        <v>123380</v>
      </c>
      <c r="F131" s="483">
        <f t="shared" si="24"/>
        <v>1017305.75</v>
      </c>
      <c r="G131" s="483">
        <f t="shared" si="25"/>
        <v>1078995.75</v>
      </c>
      <c r="H131" s="611">
        <f t="shared" si="26"/>
        <v>246161.94006157905</v>
      </c>
      <c r="I131" s="612">
        <f t="shared" si="27"/>
        <v>246161.94006157905</v>
      </c>
      <c r="J131" s="476">
        <f t="shared" ref="J131:J154" si="28">+I541-H541</f>
        <v>0</v>
      </c>
      <c r="K131" s="476"/>
      <c r="L131" s="485"/>
      <c r="M131" s="476">
        <f t="shared" ref="M131:M154" si="29">IF(L541&lt;&gt;0,+H541-L541,0)</f>
        <v>0</v>
      </c>
      <c r="N131" s="485"/>
      <c r="O131" s="476">
        <f t="shared" ref="O131:O154" si="30">IF(N541&lt;&gt;0,+I541-N541,0)</f>
        <v>0</v>
      </c>
      <c r="P131" s="476">
        <f t="shared" ref="P131:P154" si="31">+O541-M541</f>
        <v>0</v>
      </c>
    </row>
    <row r="132" spans="2:16">
      <c r="B132" s="160" t="str">
        <f t="shared" si="19"/>
        <v/>
      </c>
      <c r="C132" s="470">
        <f>IF(D93="","-",+C131+1)</f>
        <v>2052</v>
      </c>
      <c r="D132" s="345">
        <f>IF(F131+SUM(E$99:E131)=D$92,F131,D$92-SUM(E$99:E131))</f>
        <v>1017305.75</v>
      </c>
      <c r="E132" s="482">
        <f t="shared" si="23"/>
        <v>123380</v>
      </c>
      <c r="F132" s="483">
        <f t="shared" si="24"/>
        <v>893925.75</v>
      </c>
      <c r="G132" s="483">
        <f t="shared" si="25"/>
        <v>955615.75</v>
      </c>
      <c r="H132" s="611">
        <f t="shared" si="26"/>
        <v>232122.18525735708</v>
      </c>
      <c r="I132" s="612">
        <f t="shared" si="27"/>
        <v>232122.18525735708</v>
      </c>
      <c r="J132" s="476">
        <f t="shared" si="28"/>
        <v>0</v>
      </c>
      <c r="K132" s="476"/>
      <c r="L132" s="485"/>
      <c r="M132" s="476">
        <f t="shared" si="29"/>
        <v>0</v>
      </c>
      <c r="N132" s="485"/>
      <c r="O132" s="476">
        <f t="shared" si="30"/>
        <v>0</v>
      </c>
      <c r="P132" s="476">
        <f t="shared" si="31"/>
        <v>0</v>
      </c>
    </row>
    <row r="133" spans="2:16">
      <c r="B133" s="160" t="str">
        <f t="shared" si="19"/>
        <v/>
      </c>
      <c r="C133" s="470">
        <f>IF(D93="","-",+C132+1)</f>
        <v>2053</v>
      </c>
      <c r="D133" s="345">
        <f>IF(F132+SUM(E$99:E132)=D$92,F132,D$92-SUM(E$99:E132))</f>
        <v>893925.75</v>
      </c>
      <c r="E133" s="482">
        <f t="shared" si="23"/>
        <v>123380</v>
      </c>
      <c r="F133" s="483">
        <f t="shared" si="24"/>
        <v>770545.75</v>
      </c>
      <c r="G133" s="483">
        <f t="shared" si="25"/>
        <v>832235.75</v>
      </c>
      <c r="H133" s="611">
        <f t="shared" si="26"/>
        <v>218082.43045313505</v>
      </c>
      <c r="I133" s="612">
        <f t="shared" si="27"/>
        <v>218082.43045313505</v>
      </c>
      <c r="J133" s="476">
        <f t="shared" si="28"/>
        <v>0</v>
      </c>
      <c r="K133" s="476"/>
      <c r="L133" s="485"/>
      <c r="M133" s="476">
        <f t="shared" si="29"/>
        <v>0</v>
      </c>
      <c r="N133" s="485"/>
      <c r="O133" s="476">
        <f t="shared" si="30"/>
        <v>0</v>
      </c>
      <c r="P133" s="476">
        <f t="shared" si="31"/>
        <v>0</v>
      </c>
    </row>
    <row r="134" spans="2:16">
      <c r="B134" s="160" t="str">
        <f t="shared" si="19"/>
        <v/>
      </c>
      <c r="C134" s="470">
        <f>IF(D93="","-",+C133+1)</f>
        <v>2054</v>
      </c>
      <c r="D134" s="345">
        <f>IF(F133+SUM(E$99:E133)=D$92,F133,D$92-SUM(E$99:E133))</f>
        <v>770545.75</v>
      </c>
      <c r="E134" s="482">
        <f t="shared" si="23"/>
        <v>123380</v>
      </c>
      <c r="F134" s="483">
        <f t="shared" si="24"/>
        <v>647165.75</v>
      </c>
      <c r="G134" s="483">
        <f t="shared" si="25"/>
        <v>708855.75</v>
      </c>
      <c r="H134" s="611">
        <f t="shared" si="26"/>
        <v>204042.67564891305</v>
      </c>
      <c r="I134" s="612">
        <f t="shared" si="27"/>
        <v>204042.67564891305</v>
      </c>
      <c r="J134" s="476">
        <f t="shared" si="28"/>
        <v>0</v>
      </c>
      <c r="K134" s="476"/>
      <c r="L134" s="485"/>
      <c r="M134" s="476">
        <f t="shared" si="29"/>
        <v>0</v>
      </c>
      <c r="N134" s="485"/>
      <c r="O134" s="476">
        <f t="shared" si="30"/>
        <v>0</v>
      </c>
      <c r="P134" s="476">
        <f t="shared" si="31"/>
        <v>0</v>
      </c>
    </row>
    <row r="135" spans="2:16">
      <c r="B135" s="160" t="str">
        <f t="shared" si="19"/>
        <v/>
      </c>
      <c r="C135" s="470">
        <f>IF(D93="","-",+C134+1)</f>
        <v>2055</v>
      </c>
      <c r="D135" s="345">
        <f>IF(F134+SUM(E$99:E134)=D$92,F134,D$92-SUM(E$99:E134))</f>
        <v>647165.75</v>
      </c>
      <c r="E135" s="482">
        <f t="shared" si="23"/>
        <v>123380</v>
      </c>
      <c r="F135" s="483">
        <f t="shared" si="24"/>
        <v>523785.75</v>
      </c>
      <c r="G135" s="483">
        <f t="shared" si="25"/>
        <v>585475.75</v>
      </c>
      <c r="H135" s="611">
        <f t="shared" si="26"/>
        <v>190002.92084469105</v>
      </c>
      <c r="I135" s="612">
        <f t="shared" si="27"/>
        <v>190002.92084469105</v>
      </c>
      <c r="J135" s="476">
        <f t="shared" si="28"/>
        <v>0</v>
      </c>
      <c r="K135" s="476"/>
      <c r="L135" s="485"/>
      <c r="M135" s="476">
        <f t="shared" si="29"/>
        <v>0</v>
      </c>
      <c r="N135" s="485"/>
      <c r="O135" s="476">
        <f t="shared" si="30"/>
        <v>0</v>
      </c>
      <c r="P135" s="476">
        <f t="shared" si="31"/>
        <v>0</v>
      </c>
    </row>
    <row r="136" spans="2:16">
      <c r="B136" s="160" t="str">
        <f t="shared" si="19"/>
        <v/>
      </c>
      <c r="C136" s="470">
        <f>IF(D93="","-",+C135+1)</f>
        <v>2056</v>
      </c>
      <c r="D136" s="345">
        <f>IF(F135+SUM(E$99:E135)=D$92,F135,D$92-SUM(E$99:E135))</f>
        <v>523785.75</v>
      </c>
      <c r="E136" s="482">
        <f t="shared" si="23"/>
        <v>123380</v>
      </c>
      <c r="F136" s="483">
        <f t="shared" si="24"/>
        <v>400405.75</v>
      </c>
      <c r="G136" s="483">
        <f t="shared" si="25"/>
        <v>462095.75</v>
      </c>
      <c r="H136" s="611">
        <f t="shared" si="26"/>
        <v>175963.16604046905</v>
      </c>
      <c r="I136" s="612">
        <f t="shared" si="27"/>
        <v>175963.16604046905</v>
      </c>
      <c r="J136" s="476">
        <f t="shared" si="28"/>
        <v>0</v>
      </c>
      <c r="K136" s="476"/>
      <c r="L136" s="485"/>
      <c r="M136" s="476">
        <f t="shared" si="29"/>
        <v>0</v>
      </c>
      <c r="N136" s="485"/>
      <c r="O136" s="476">
        <f t="shared" si="30"/>
        <v>0</v>
      </c>
      <c r="P136" s="476">
        <f t="shared" si="31"/>
        <v>0</v>
      </c>
    </row>
    <row r="137" spans="2:16">
      <c r="B137" s="160" t="str">
        <f t="shared" si="19"/>
        <v/>
      </c>
      <c r="C137" s="470">
        <f>IF(D93="","-",+C136+1)</f>
        <v>2057</v>
      </c>
      <c r="D137" s="345">
        <f>IF(F136+SUM(E$99:E136)=D$92,F136,D$92-SUM(E$99:E136))</f>
        <v>400405.75</v>
      </c>
      <c r="E137" s="482">
        <f t="shared" si="23"/>
        <v>123380</v>
      </c>
      <c r="F137" s="483">
        <f t="shared" si="24"/>
        <v>277025.75</v>
      </c>
      <c r="G137" s="483">
        <f t="shared" si="25"/>
        <v>338715.75</v>
      </c>
      <c r="H137" s="611">
        <f t="shared" si="26"/>
        <v>161923.41123624705</v>
      </c>
      <c r="I137" s="612">
        <f t="shared" si="27"/>
        <v>161923.41123624705</v>
      </c>
      <c r="J137" s="476">
        <f t="shared" si="28"/>
        <v>0</v>
      </c>
      <c r="K137" s="476"/>
      <c r="L137" s="485"/>
      <c r="M137" s="476">
        <f t="shared" si="29"/>
        <v>0</v>
      </c>
      <c r="N137" s="485"/>
      <c r="O137" s="476">
        <f t="shared" si="30"/>
        <v>0</v>
      </c>
      <c r="P137" s="476">
        <f t="shared" si="31"/>
        <v>0</v>
      </c>
    </row>
    <row r="138" spans="2:16">
      <c r="B138" s="160" t="str">
        <f t="shared" si="19"/>
        <v/>
      </c>
      <c r="C138" s="470">
        <f>IF(D93="","-",+C137+1)</f>
        <v>2058</v>
      </c>
      <c r="D138" s="345">
        <f>IF(F137+SUM(E$99:E137)=D$92,F137,D$92-SUM(E$99:E137))</f>
        <v>277025.75</v>
      </c>
      <c r="E138" s="482">
        <f t="shared" si="23"/>
        <v>123380</v>
      </c>
      <c r="F138" s="483">
        <f t="shared" si="24"/>
        <v>153645.75</v>
      </c>
      <c r="G138" s="483">
        <f t="shared" si="25"/>
        <v>215335.75</v>
      </c>
      <c r="H138" s="611">
        <f t="shared" si="26"/>
        <v>147883.65643202502</v>
      </c>
      <c r="I138" s="612">
        <f t="shared" si="27"/>
        <v>147883.65643202502</v>
      </c>
      <c r="J138" s="476">
        <f t="shared" si="28"/>
        <v>0</v>
      </c>
      <c r="K138" s="476"/>
      <c r="L138" s="485"/>
      <c r="M138" s="476">
        <f t="shared" si="29"/>
        <v>0</v>
      </c>
      <c r="N138" s="485"/>
      <c r="O138" s="476">
        <f t="shared" si="30"/>
        <v>0</v>
      </c>
      <c r="P138" s="476">
        <f t="shared" si="31"/>
        <v>0</v>
      </c>
    </row>
    <row r="139" spans="2:16">
      <c r="B139" s="160" t="str">
        <f t="shared" si="19"/>
        <v/>
      </c>
      <c r="C139" s="470">
        <f>IF(D93="","-",+C138+1)</f>
        <v>2059</v>
      </c>
      <c r="D139" s="345">
        <f>IF(F138+SUM(E$99:E138)=D$92,F138,D$92-SUM(E$99:E138))</f>
        <v>153645.75</v>
      </c>
      <c r="E139" s="482">
        <f t="shared" si="23"/>
        <v>123380</v>
      </c>
      <c r="F139" s="483">
        <f t="shared" si="24"/>
        <v>30265.75</v>
      </c>
      <c r="G139" s="483">
        <f t="shared" si="25"/>
        <v>91955.75</v>
      </c>
      <c r="H139" s="611">
        <f t="shared" si="26"/>
        <v>133843.90162780302</v>
      </c>
      <c r="I139" s="612">
        <f t="shared" si="27"/>
        <v>133843.90162780302</v>
      </c>
      <c r="J139" s="476">
        <f t="shared" si="28"/>
        <v>0</v>
      </c>
      <c r="K139" s="476"/>
      <c r="L139" s="485"/>
      <c r="M139" s="476">
        <f t="shared" si="29"/>
        <v>0</v>
      </c>
      <c r="N139" s="485"/>
      <c r="O139" s="476">
        <f t="shared" si="30"/>
        <v>0</v>
      </c>
      <c r="P139" s="476">
        <f t="shared" si="31"/>
        <v>0</v>
      </c>
    </row>
    <row r="140" spans="2:16">
      <c r="B140" s="160" t="str">
        <f t="shared" si="19"/>
        <v/>
      </c>
      <c r="C140" s="470">
        <f>IF(D93="","-",+C139+1)</f>
        <v>2060</v>
      </c>
      <c r="D140" s="345">
        <f>IF(F139+SUM(E$99:E139)=D$92,F139,D$92-SUM(E$99:E139))</f>
        <v>30265.75</v>
      </c>
      <c r="E140" s="482">
        <f t="shared" si="23"/>
        <v>30265.75</v>
      </c>
      <c r="F140" s="483">
        <f t="shared" si="24"/>
        <v>0</v>
      </c>
      <c r="G140" s="483">
        <f t="shared" si="25"/>
        <v>15132.875</v>
      </c>
      <c r="H140" s="611">
        <f t="shared" si="26"/>
        <v>31987.762112846012</v>
      </c>
      <c r="I140" s="612">
        <f t="shared" si="27"/>
        <v>31987.762112846012</v>
      </c>
      <c r="J140" s="476">
        <f t="shared" si="28"/>
        <v>0</v>
      </c>
      <c r="K140" s="476"/>
      <c r="L140" s="485"/>
      <c r="M140" s="476">
        <f t="shared" si="29"/>
        <v>0</v>
      </c>
      <c r="N140" s="485"/>
      <c r="O140" s="476">
        <f t="shared" si="30"/>
        <v>0</v>
      </c>
      <c r="P140" s="476">
        <f t="shared" si="31"/>
        <v>0</v>
      </c>
    </row>
    <row r="141" spans="2:16">
      <c r="B141" s="160" t="str">
        <f t="shared" si="19"/>
        <v/>
      </c>
      <c r="C141" s="470">
        <f>IF(D93="","-",+C140+1)</f>
        <v>2061</v>
      </c>
      <c r="D141" s="345">
        <f>IF(F140+SUM(E$99:E140)=D$92,F140,D$92-SUM(E$99:E140))</f>
        <v>0</v>
      </c>
      <c r="E141" s="482">
        <f t="shared" si="23"/>
        <v>0</v>
      </c>
      <c r="F141" s="483">
        <f t="shared" si="24"/>
        <v>0</v>
      </c>
      <c r="G141" s="483">
        <f t="shared" si="25"/>
        <v>0</v>
      </c>
      <c r="H141" s="611">
        <f t="shared" si="26"/>
        <v>0</v>
      </c>
      <c r="I141" s="612">
        <f t="shared" si="27"/>
        <v>0</v>
      </c>
      <c r="J141" s="476">
        <f t="shared" si="28"/>
        <v>0</v>
      </c>
      <c r="K141" s="476"/>
      <c r="L141" s="485"/>
      <c r="M141" s="476">
        <f t="shared" si="29"/>
        <v>0</v>
      </c>
      <c r="N141" s="485"/>
      <c r="O141" s="476">
        <f t="shared" si="30"/>
        <v>0</v>
      </c>
      <c r="P141" s="476">
        <f t="shared" si="31"/>
        <v>0</v>
      </c>
    </row>
    <row r="142" spans="2:16">
      <c r="B142" s="160" t="str">
        <f t="shared" si="19"/>
        <v/>
      </c>
      <c r="C142" s="470">
        <f>IF(D93="","-",+C141+1)</f>
        <v>2062</v>
      </c>
      <c r="D142" s="345">
        <f>IF(F141+SUM(E$99:E141)=D$92,F141,D$92-SUM(E$99:E141))</f>
        <v>0</v>
      </c>
      <c r="E142" s="482">
        <f t="shared" si="23"/>
        <v>0</v>
      </c>
      <c r="F142" s="483">
        <f t="shared" si="24"/>
        <v>0</v>
      </c>
      <c r="G142" s="483">
        <f t="shared" si="25"/>
        <v>0</v>
      </c>
      <c r="H142" s="611">
        <f t="shared" si="26"/>
        <v>0</v>
      </c>
      <c r="I142" s="612">
        <f t="shared" si="27"/>
        <v>0</v>
      </c>
      <c r="J142" s="476">
        <f t="shared" si="28"/>
        <v>0</v>
      </c>
      <c r="K142" s="476"/>
      <c r="L142" s="485"/>
      <c r="M142" s="476">
        <f t="shared" si="29"/>
        <v>0</v>
      </c>
      <c r="N142" s="485"/>
      <c r="O142" s="476">
        <f t="shared" si="30"/>
        <v>0</v>
      </c>
      <c r="P142" s="476">
        <f t="shared" si="31"/>
        <v>0</v>
      </c>
    </row>
    <row r="143" spans="2:16">
      <c r="B143" s="160" t="str">
        <f t="shared" si="19"/>
        <v/>
      </c>
      <c r="C143" s="470">
        <f>IF(D93="","-",+C142+1)</f>
        <v>2063</v>
      </c>
      <c r="D143" s="345">
        <f>IF(F142+SUM(E$99:E142)=D$92,F142,D$92-SUM(E$99:E142))</f>
        <v>0</v>
      </c>
      <c r="E143" s="482">
        <f t="shared" si="23"/>
        <v>0</v>
      </c>
      <c r="F143" s="483">
        <f t="shared" si="24"/>
        <v>0</v>
      </c>
      <c r="G143" s="483">
        <f t="shared" si="25"/>
        <v>0</v>
      </c>
      <c r="H143" s="611">
        <f t="shared" si="26"/>
        <v>0</v>
      </c>
      <c r="I143" s="612">
        <f t="shared" si="27"/>
        <v>0</v>
      </c>
      <c r="J143" s="476">
        <f t="shared" si="28"/>
        <v>0</v>
      </c>
      <c r="K143" s="476"/>
      <c r="L143" s="485"/>
      <c r="M143" s="476">
        <f t="shared" si="29"/>
        <v>0</v>
      </c>
      <c r="N143" s="485"/>
      <c r="O143" s="476">
        <f t="shared" si="30"/>
        <v>0</v>
      </c>
      <c r="P143" s="476">
        <f t="shared" si="31"/>
        <v>0</v>
      </c>
    </row>
    <row r="144" spans="2:16">
      <c r="B144" s="160" t="str">
        <f t="shared" si="19"/>
        <v/>
      </c>
      <c r="C144" s="470">
        <f>IF(D93="","-",+C143+1)</f>
        <v>2064</v>
      </c>
      <c r="D144" s="345">
        <f>IF(F143+SUM(E$99:E143)=D$92,F143,D$92-SUM(E$99:E143))</f>
        <v>0</v>
      </c>
      <c r="E144" s="482">
        <f t="shared" si="23"/>
        <v>0</v>
      </c>
      <c r="F144" s="483">
        <f t="shared" si="24"/>
        <v>0</v>
      </c>
      <c r="G144" s="483">
        <f t="shared" si="25"/>
        <v>0</v>
      </c>
      <c r="H144" s="611">
        <f t="shared" si="26"/>
        <v>0</v>
      </c>
      <c r="I144" s="612">
        <f t="shared" si="27"/>
        <v>0</v>
      </c>
      <c r="J144" s="476">
        <f t="shared" si="28"/>
        <v>0</v>
      </c>
      <c r="K144" s="476"/>
      <c r="L144" s="485"/>
      <c r="M144" s="476">
        <f t="shared" si="29"/>
        <v>0</v>
      </c>
      <c r="N144" s="485"/>
      <c r="O144" s="476">
        <f t="shared" si="30"/>
        <v>0</v>
      </c>
      <c r="P144" s="476">
        <f t="shared" si="31"/>
        <v>0</v>
      </c>
    </row>
    <row r="145" spans="2:16">
      <c r="B145" s="160" t="str">
        <f t="shared" si="19"/>
        <v/>
      </c>
      <c r="C145" s="470">
        <f>IF(D93="","-",+C144+1)</f>
        <v>2065</v>
      </c>
      <c r="D145" s="345">
        <f>IF(F144+SUM(E$99:E144)=D$92,F144,D$92-SUM(E$99:E144))</f>
        <v>0</v>
      </c>
      <c r="E145" s="482">
        <f t="shared" si="23"/>
        <v>0</v>
      </c>
      <c r="F145" s="483">
        <f t="shared" si="24"/>
        <v>0</v>
      </c>
      <c r="G145" s="483">
        <f t="shared" si="25"/>
        <v>0</v>
      </c>
      <c r="H145" s="611">
        <f t="shared" si="26"/>
        <v>0</v>
      </c>
      <c r="I145" s="612">
        <f t="shared" si="27"/>
        <v>0</v>
      </c>
      <c r="J145" s="476">
        <f t="shared" si="28"/>
        <v>0</v>
      </c>
      <c r="K145" s="476"/>
      <c r="L145" s="485"/>
      <c r="M145" s="476">
        <f t="shared" si="29"/>
        <v>0</v>
      </c>
      <c r="N145" s="485"/>
      <c r="O145" s="476">
        <f t="shared" si="30"/>
        <v>0</v>
      </c>
      <c r="P145" s="476">
        <f t="shared" si="31"/>
        <v>0</v>
      </c>
    </row>
    <row r="146" spans="2:16">
      <c r="B146" s="160" t="str">
        <f t="shared" si="19"/>
        <v/>
      </c>
      <c r="C146" s="470">
        <f>IF(D93="","-",+C145+1)</f>
        <v>2066</v>
      </c>
      <c r="D146" s="345">
        <f>IF(F145+SUM(E$99:E145)=D$92,F145,D$92-SUM(E$99:E145))</f>
        <v>0</v>
      </c>
      <c r="E146" s="482">
        <f t="shared" si="23"/>
        <v>0</v>
      </c>
      <c r="F146" s="483">
        <f t="shared" si="24"/>
        <v>0</v>
      </c>
      <c r="G146" s="483">
        <f t="shared" si="25"/>
        <v>0</v>
      </c>
      <c r="H146" s="611">
        <f t="shared" si="26"/>
        <v>0</v>
      </c>
      <c r="I146" s="612">
        <f t="shared" si="27"/>
        <v>0</v>
      </c>
      <c r="J146" s="476">
        <f t="shared" si="28"/>
        <v>0</v>
      </c>
      <c r="K146" s="476"/>
      <c r="L146" s="485"/>
      <c r="M146" s="476">
        <f t="shared" si="29"/>
        <v>0</v>
      </c>
      <c r="N146" s="485"/>
      <c r="O146" s="476">
        <f t="shared" si="30"/>
        <v>0</v>
      </c>
      <c r="P146" s="476">
        <f t="shared" si="31"/>
        <v>0</v>
      </c>
    </row>
    <row r="147" spans="2:16">
      <c r="B147" s="160" t="str">
        <f t="shared" si="19"/>
        <v/>
      </c>
      <c r="C147" s="470">
        <f>IF(D93="","-",+C146+1)</f>
        <v>2067</v>
      </c>
      <c r="D147" s="345">
        <f>IF(F146+SUM(E$99:E146)=D$92,F146,D$92-SUM(E$99:E146))</f>
        <v>0</v>
      </c>
      <c r="E147" s="482">
        <f t="shared" si="23"/>
        <v>0</v>
      </c>
      <c r="F147" s="483">
        <f t="shared" si="24"/>
        <v>0</v>
      </c>
      <c r="G147" s="483">
        <f t="shared" si="25"/>
        <v>0</v>
      </c>
      <c r="H147" s="611">
        <f t="shared" si="26"/>
        <v>0</v>
      </c>
      <c r="I147" s="612">
        <f t="shared" si="27"/>
        <v>0</v>
      </c>
      <c r="J147" s="476">
        <f t="shared" si="28"/>
        <v>0</v>
      </c>
      <c r="K147" s="476"/>
      <c r="L147" s="485"/>
      <c r="M147" s="476">
        <f t="shared" si="29"/>
        <v>0</v>
      </c>
      <c r="N147" s="485"/>
      <c r="O147" s="476">
        <f t="shared" si="30"/>
        <v>0</v>
      </c>
      <c r="P147" s="476">
        <f t="shared" si="31"/>
        <v>0</v>
      </c>
    </row>
    <row r="148" spans="2:16">
      <c r="B148" s="160" t="str">
        <f t="shared" si="19"/>
        <v/>
      </c>
      <c r="C148" s="470">
        <f>IF(D93="","-",+C147+1)</f>
        <v>2068</v>
      </c>
      <c r="D148" s="345">
        <f>IF(F147+SUM(E$99:E147)=D$92,F147,D$92-SUM(E$99:E147))</f>
        <v>0</v>
      </c>
      <c r="E148" s="482">
        <f t="shared" si="23"/>
        <v>0</v>
      </c>
      <c r="F148" s="483">
        <f t="shared" si="24"/>
        <v>0</v>
      </c>
      <c r="G148" s="483">
        <f t="shared" si="25"/>
        <v>0</v>
      </c>
      <c r="H148" s="611">
        <f t="shared" si="26"/>
        <v>0</v>
      </c>
      <c r="I148" s="612">
        <f t="shared" si="27"/>
        <v>0</v>
      </c>
      <c r="J148" s="476">
        <f t="shared" si="28"/>
        <v>0</v>
      </c>
      <c r="K148" s="476"/>
      <c r="L148" s="485"/>
      <c r="M148" s="476">
        <f t="shared" si="29"/>
        <v>0</v>
      </c>
      <c r="N148" s="485"/>
      <c r="O148" s="476">
        <f t="shared" si="30"/>
        <v>0</v>
      </c>
      <c r="P148" s="476">
        <f t="shared" si="31"/>
        <v>0</v>
      </c>
    </row>
    <row r="149" spans="2:16">
      <c r="B149" s="160" t="str">
        <f t="shared" si="19"/>
        <v/>
      </c>
      <c r="C149" s="470">
        <f>IF(D93="","-",+C148+1)</f>
        <v>2069</v>
      </c>
      <c r="D149" s="345">
        <f>IF(F148+SUM(E$99:E148)=D$92,F148,D$92-SUM(E$99:E148))</f>
        <v>0</v>
      </c>
      <c r="E149" s="482">
        <f t="shared" si="23"/>
        <v>0</v>
      </c>
      <c r="F149" s="483">
        <f t="shared" si="24"/>
        <v>0</v>
      </c>
      <c r="G149" s="483">
        <f t="shared" si="25"/>
        <v>0</v>
      </c>
      <c r="H149" s="611">
        <f t="shared" si="26"/>
        <v>0</v>
      </c>
      <c r="I149" s="612">
        <f t="shared" si="27"/>
        <v>0</v>
      </c>
      <c r="J149" s="476">
        <f t="shared" si="28"/>
        <v>0</v>
      </c>
      <c r="K149" s="476"/>
      <c r="L149" s="485"/>
      <c r="M149" s="476">
        <f t="shared" si="29"/>
        <v>0</v>
      </c>
      <c r="N149" s="485"/>
      <c r="O149" s="476">
        <f t="shared" si="30"/>
        <v>0</v>
      </c>
      <c r="P149" s="476">
        <f t="shared" si="31"/>
        <v>0</v>
      </c>
    </row>
    <row r="150" spans="2:16">
      <c r="B150" s="160" t="str">
        <f t="shared" si="19"/>
        <v/>
      </c>
      <c r="C150" s="470">
        <f>IF(D93="","-",+C149+1)</f>
        <v>2070</v>
      </c>
      <c r="D150" s="345">
        <f>IF(F149+SUM(E$99:E149)=D$92,F149,D$92-SUM(E$99:E149))</f>
        <v>0</v>
      </c>
      <c r="E150" s="482">
        <f t="shared" si="23"/>
        <v>0</v>
      </c>
      <c r="F150" s="483">
        <f t="shared" si="24"/>
        <v>0</v>
      </c>
      <c r="G150" s="483">
        <f t="shared" si="25"/>
        <v>0</v>
      </c>
      <c r="H150" s="611">
        <f t="shared" si="26"/>
        <v>0</v>
      </c>
      <c r="I150" s="612">
        <f t="shared" si="27"/>
        <v>0</v>
      </c>
      <c r="J150" s="476">
        <f t="shared" si="28"/>
        <v>0</v>
      </c>
      <c r="K150" s="476"/>
      <c r="L150" s="485"/>
      <c r="M150" s="476">
        <f t="shared" si="29"/>
        <v>0</v>
      </c>
      <c r="N150" s="485"/>
      <c r="O150" s="476">
        <f t="shared" si="30"/>
        <v>0</v>
      </c>
      <c r="P150" s="476">
        <f t="shared" si="31"/>
        <v>0</v>
      </c>
    </row>
    <row r="151" spans="2:16">
      <c r="B151" s="160" t="str">
        <f t="shared" si="19"/>
        <v/>
      </c>
      <c r="C151" s="470">
        <f>IF(D93="","-",+C150+1)</f>
        <v>2071</v>
      </c>
      <c r="D151" s="345">
        <f>IF(F150+SUM(E$99:E150)=D$92,F150,D$92-SUM(E$99:E150))</f>
        <v>0</v>
      </c>
      <c r="E151" s="482">
        <f t="shared" si="23"/>
        <v>0</v>
      </c>
      <c r="F151" s="483">
        <f t="shared" si="24"/>
        <v>0</v>
      </c>
      <c r="G151" s="483">
        <f t="shared" si="25"/>
        <v>0</v>
      </c>
      <c r="H151" s="611">
        <f t="shared" si="26"/>
        <v>0</v>
      </c>
      <c r="I151" s="612">
        <f t="shared" si="27"/>
        <v>0</v>
      </c>
      <c r="J151" s="476">
        <f t="shared" si="28"/>
        <v>0</v>
      </c>
      <c r="K151" s="476"/>
      <c r="L151" s="485"/>
      <c r="M151" s="476">
        <f t="shared" si="29"/>
        <v>0</v>
      </c>
      <c r="N151" s="485"/>
      <c r="O151" s="476">
        <f t="shared" si="30"/>
        <v>0</v>
      </c>
      <c r="P151" s="476">
        <f t="shared" si="31"/>
        <v>0</v>
      </c>
    </row>
    <row r="152" spans="2:16">
      <c r="B152" s="160" t="str">
        <f t="shared" si="19"/>
        <v/>
      </c>
      <c r="C152" s="470">
        <f>IF(D93="","-",+C151+1)</f>
        <v>2072</v>
      </c>
      <c r="D152" s="345">
        <f>IF(F151+SUM(E$99:E151)=D$92,F151,D$92-SUM(E$99:E151))</f>
        <v>0</v>
      </c>
      <c r="E152" s="482">
        <f t="shared" si="23"/>
        <v>0</v>
      </c>
      <c r="F152" s="483">
        <f t="shared" si="24"/>
        <v>0</v>
      </c>
      <c r="G152" s="483">
        <f t="shared" si="25"/>
        <v>0</v>
      </c>
      <c r="H152" s="611">
        <f t="shared" si="26"/>
        <v>0</v>
      </c>
      <c r="I152" s="612">
        <f t="shared" si="27"/>
        <v>0</v>
      </c>
      <c r="J152" s="476">
        <f t="shared" si="28"/>
        <v>0</v>
      </c>
      <c r="K152" s="476"/>
      <c r="L152" s="485"/>
      <c r="M152" s="476">
        <f t="shared" si="29"/>
        <v>0</v>
      </c>
      <c r="N152" s="485"/>
      <c r="O152" s="476">
        <f t="shared" si="30"/>
        <v>0</v>
      </c>
      <c r="P152" s="476">
        <f t="shared" si="31"/>
        <v>0</v>
      </c>
    </row>
    <row r="153" spans="2:16">
      <c r="B153" s="160" t="str">
        <f t="shared" si="19"/>
        <v/>
      </c>
      <c r="C153" s="470">
        <f>IF(D93="","-",+C152+1)</f>
        <v>2073</v>
      </c>
      <c r="D153" s="345">
        <f>IF(F152+SUM(E$99:E152)=D$92,F152,D$92-SUM(E$99:E152))</f>
        <v>0</v>
      </c>
      <c r="E153" s="482">
        <f t="shared" si="23"/>
        <v>0</v>
      </c>
      <c r="F153" s="483">
        <f t="shared" si="24"/>
        <v>0</v>
      </c>
      <c r="G153" s="483">
        <f t="shared" si="25"/>
        <v>0</v>
      </c>
      <c r="H153" s="611">
        <f t="shared" si="26"/>
        <v>0</v>
      </c>
      <c r="I153" s="612">
        <f t="shared" si="27"/>
        <v>0</v>
      </c>
      <c r="J153" s="476">
        <f t="shared" si="28"/>
        <v>0</v>
      </c>
      <c r="K153" s="476"/>
      <c r="L153" s="485"/>
      <c r="M153" s="476">
        <f t="shared" si="29"/>
        <v>0</v>
      </c>
      <c r="N153" s="485"/>
      <c r="O153" s="476">
        <f t="shared" si="30"/>
        <v>0</v>
      </c>
      <c r="P153" s="476">
        <f t="shared" si="31"/>
        <v>0</v>
      </c>
    </row>
    <row r="154" spans="2:16" ht="13.5" thickBot="1">
      <c r="B154" s="160" t="str">
        <f t="shared" si="19"/>
        <v/>
      </c>
      <c r="C154" s="487">
        <f>IF(D93="","-",+C153+1)</f>
        <v>2074</v>
      </c>
      <c r="D154" s="541">
        <f>IF(F153+SUM(E$99:E153)=D$92,F153,D$92-SUM(E$99:E153))</f>
        <v>0</v>
      </c>
      <c r="E154" s="489">
        <f t="shared" si="23"/>
        <v>0</v>
      </c>
      <c r="F154" s="488">
        <f t="shared" si="24"/>
        <v>0</v>
      </c>
      <c r="G154" s="488">
        <f t="shared" si="25"/>
        <v>0</v>
      </c>
      <c r="H154" s="613">
        <f t="shared" si="26"/>
        <v>0</v>
      </c>
      <c r="I154" s="614">
        <f t="shared" si="27"/>
        <v>0</v>
      </c>
      <c r="J154" s="493">
        <f t="shared" si="28"/>
        <v>0</v>
      </c>
      <c r="K154" s="476"/>
      <c r="L154" s="492"/>
      <c r="M154" s="493">
        <f t="shared" si="29"/>
        <v>0</v>
      </c>
      <c r="N154" s="492"/>
      <c r="O154" s="493">
        <f t="shared" si="30"/>
        <v>0</v>
      </c>
      <c r="P154" s="493">
        <f t="shared" si="31"/>
        <v>0</v>
      </c>
    </row>
    <row r="155" spans="2:16">
      <c r="C155" s="345" t="s">
        <v>77</v>
      </c>
      <c r="D155" s="346"/>
      <c r="E155" s="346">
        <f>SUM(E99:E154)</f>
        <v>5058589</v>
      </c>
      <c r="F155" s="346"/>
      <c r="G155" s="346"/>
      <c r="H155" s="346">
        <f>SUM(H99:H154)</f>
        <v>16677939.591017244</v>
      </c>
      <c r="I155" s="346">
        <f>SUM(I99:I154)</f>
        <v>16677939.591017244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15" priority="1" stopIfTrue="1" operator="equal">
      <formula>$I$10</formula>
    </cfRule>
  </conditionalFormatting>
  <conditionalFormatting sqref="C99:C154">
    <cfRule type="cellIs" dxfId="14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162"/>
  <sheetViews>
    <sheetView topLeftCell="A78" zoomScale="86" zoomScaleNormal="86" workbookViewId="0">
      <selection activeCell="D99" sqref="D99:I101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28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309077.29528227838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309077.29528227838</v>
      </c>
      <c r="O6" s="231"/>
      <c r="P6" s="231"/>
    </row>
    <row r="7" spans="1:16" ht="13.5" thickBot="1">
      <c r="C7" s="429" t="s">
        <v>46</v>
      </c>
      <c r="D7" s="620" t="s">
        <v>336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4"/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C9" s="438" t="s">
        <v>48</v>
      </c>
      <c r="D9" s="439" t="s">
        <v>339</v>
      </c>
      <c r="E9" s="621" t="s">
        <v>340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2394794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2020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6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63020.894736842107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2020</v>
      </c>
      <c r="D17" s="582">
        <v>0</v>
      </c>
      <c r="E17" s="583">
        <v>19964.285714285714</v>
      </c>
      <c r="F17" s="582">
        <v>1657035.7142857143</v>
      </c>
      <c r="G17" s="583">
        <v>109448.17204091245</v>
      </c>
      <c r="H17" s="585">
        <v>109448.17204091245</v>
      </c>
      <c r="I17" s="473">
        <f>H17-G17</f>
        <v>0</v>
      </c>
      <c r="J17" s="473"/>
      <c r="K17" s="552">
        <f>+G17</f>
        <v>109448.17204091245</v>
      </c>
      <c r="L17" s="475">
        <f t="shared" ref="L17:L18" si="0">IF(K17&lt;&gt;0,+G17-K17,0)</f>
        <v>0</v>
      </c>
      <c r="M17" s="552">
        <f>+H17</f>
        <v>109448.17204091245</v>
      </c>
      <c r="N17" s="475">
        <f t="shared" ref="N17:N72" si="1">IF(M17&lt;&gt;0,+H17-M17,0)</f>
        <v>0</v>
      </c>
      <c r="O17" s="476">
        <f t="shared" ref="O17:O72" si="2">+N17-L17</f>
        <v>0</v>
      </c>
      <c r="P17" s="241"/>
    </row>
    <row r="18" spans="2:16">
      <c r="B18" s="160" t="str">
        <f>IF(D18=F17,"","IU")</f>
        <v>IU</v>
      </c>
      <c r="C18" s="470">
        <f>IF(D11="","-",+C17+1)</f>
        <v>2021</v>
      </c>
      <c r="D18" s="582">
        <v>2325985.7142857141</v>
      </c>
      <c r="E18" s="583">
        <v>54556.976744186046</v>
      </c>
      <c r="F18" s="582">
        <v>2271428.737541528</v>
      </c>
      <c r="G18" s="583">
        <v>302407.38707255269</v>
      </c>
      <c r="H18" s="585">
        <v>302407.38707255269</v>
      </c>
      <c r="I18" s="473">
        <f>H18-G18</f>
        <v>0</v>
      </c>
      <c r="J18" s="473"/>
      <c r="K18" s="476">
        <f>+G18</f>
        <v>302407.38707255269</v>
      </c>
      <c r="L18" s="476">
        <f t="shared" si="0"/>
        <v>0</v>
      </c>
      <c r="M18" s="476">
        <f>+H18</f>
        <v>302407.38707255269</v>
      </c>
      <c r="N18" s="476">
        <f t="shared" si="1"/>
        <v>0</v>
      </c>
      <c r="O18" s="476">
        <f t="shared" si="2"/>
        <v>0</v>
      </c>
      <c r="P18" s="241"/>
    </row>
    <row r="19" spans="2:16">
      <c r="B19" s="160" t="str">
        <f>IF(D19=F18,"","IU")</f>
        <v>IU</v>
      </c>
      <c r="C19" s="470">
        <f>IF(D11="","-",+C18+1)</f>
        <v>2022</v>
      </c>
      <c r="D19" s="582">
        <v>2462567.7375415284</v>
      </c>
      <c r="E19" s="583">
        <v>60406.880952380954</v>
      </c>
      <c r="F19" s="582">
        <v>2402160.8565891474</v>
      </c>
      <c r="G19" s="583">
        <v>322643.1060760754</v>
      </c>
      <c r="H19" s="585">
        <v>322643.1060760754</v>
      </c>
      <c r="I19" s="473">
        <f t="shared" ref="I19:I71" si="3">H19-G19</f>
        <v>0</v>
      </c>
      <c r="J19" s="473"/>
      <c r="K19" s="476">
        <f>+G19</f>
        <v>322643.1060760754</v>
      </c>
      <c r="L19" s="476">
        <f t="shared" ref="L19" si="4">IF(K19&lt;&gt;0,+G19-K19,0)</f>
        <v>0</v>
      </c>
      <c r="M19" s="476">
        <f>+H19</f>
        <v>322643.1060760754</v>
      </c>
      <c r="N19" s="476">
        <f t="shared" si="1"/>
        <v>0</v>
      </c>
      <c r="O19" s="476">
        <f t="shared" si="2"/>
        <v>0</v>
      </c>
      <c r="P19" s="241"/>
    </row>
    <row r="20" spans="2:16">
      <c r="B20" s="160" t="str">
        <f t="shared" ref="B20:B72" si="5">IF(D20=F19,"","IU")</f>
        <v>IU</v>
      </c>
      <c r="C20" s="470">
        <f>IF(D11="","-",+C19+1)</f>
        <v>2023</v>
      </c>
      <c r="D20" s="582">
        <v>2401460.3765891474</v>
      </c>
      <c r="E20" s="583">
        <v>65035.603076923078</v>
      </c>
      <c r="F20" s="582">
        <v>2336424.7735122242</v>
      </c>
      <c r="G20" s="583">
        <v>347790.10300118127</v>
      </c>
      <c r="H20" s="585">
        <v>347790.10300118127</v>
      </c>
      <c r="I20" s="473">
        <f t="shared" si="3"/>
        <v>0</v>
      </c>
      <c r="J20" s="473"/>
      <c r="K20" s="476">
        <f>+G20</f>
        <v>347790.10300118127</v>
      </c>
      <c r="L20" s="476">
        <f t="shared" ref="L20" si="6">IF(K20&lt;&gt;0,+G20-K20,0)</f>
        <v>0</v>
      </c>
      <c r="M20" s="476">
        <f>+H20</f>
        <v>347790.10300118127</v>
      </c>
      <c r="N20" s="476">
        <f t="shared" ref="N20" si="7">IF(M20&lt;&gt;0,+H20-M20,0)</f>
        <v>0</v>
      </c>
      <c r="O20" s="476">
        <f t="shared" ref="O20" si="8">+N20-L20</f>
        <v>0</v>
      </c>
      <c r="P20" s="241"/>
    </row>
    <row r="21" spans="2:16">
      <c r="B21" s="160" t="str">
        <f t="shared" si="5"/>
        <v>IU</v>
      </c>
      <c r="C21" s="631">
        <f>IF(D11="","-",+C20+1)</f>
        <v>2024</v>
      </c>
      <c r="D21" s="481">
        <f>IF(F20+SUM(E$17:E20)=D$10,F20,D$10-SUM(E$17:E20))</f>
        <v>2194830.2535122242</v>
      </c>
      <c r="E21" s="482">
        <f t="shared" ref="E21:E71" si="9">IF(+I$14&lt;F20,I$14,D21)</f>
        <v>63020.894736842107</v>
      </c>
      <c r="F21" s="483">
        <f t="shared" ref="F21:F71" si="10">+D21-E21</f>
        <v>2131809.3587753819</v>
      </c>
      <c r="G21" s="484">
        <f t="shared" ref="G21:G71" si="11">(D21+F21)/2*I$12+E21</f>
        <v>309077.29528227838</v>
      </c>
      <c r="H21" s="453">
        <f t="shared" ref="H21:H71" si="12">+(D21+F21)/2*I$13+E21</f>
        <v>309077.29528227838</v>
      </c>
      <c r="I21" s="473">
        <f t="shared" si="3"/>
        <v>0</v>
      </c>
      <c r="J21" s="473"/>
      <c r="K21" s="485"/>
      <c r="L21" s="476">
        <f t="shared" ref="L21:L72" si="13">IF(K21&lt;&gt;0,+G21-K21,0)</f>
        <v>0</v>
      </c>
      <c r="M21" s="485"/>
      <c r="N21" s="476">
        <f t="shared" si="1"/>
        <v>0</v>
      </c>
      <c r="O21" s="476">
        <f t="shared" si="2"/>
        <v>0</v>
      </c>
      <c r="P21" s="241"/>
    </row>
    <row r="22" spans="2:16">
      <c r="B22" s="160" t="str">
        <f t="shared" si="5"/>
        <v/>
      </c>
      <c r="C22" s="470">
        <f>IF(D11="","-",+C21+1)</f>
        <v>2025</v>
      </c>
      <c r="D22" s="481">
        <f>IF(F21+SUM(E$17:E21)=D$10,F21,D$10-SUM(E$17:E21))</f>
        <v>2131809.3587753819</v>
      </c>
      <c r="E22" s="482">
        <f t="shared" si="9"/>
        <v>63020.894736842107</v>
      </c>
      <c r="F22" s="483">
        <f t="shared" si="10"/>
        <v>2068788.4640385399</v>
      </c>
      <c r="G22" s="484">
        <f t="shared" si="11"/>
        <v>301909.28689347638</v>
      </c>
      <c r="H22" s="453">
        <f t="shared" si="12"/>
        <v>301909.28689347638</v>
      </c>
      <c r="I22" s="473">
        <f t="shared" si="3"/>
        <v>0</v>
      </c>
      <c r="J22" s="473"/>
      <c r="K22" s="485"/>
      <c r="L22" s="476">
        <f t="shared" si="13"/>
        <v>0</v>
      </c>
      <c r="M22" s="485"/>
      <c r="N22" s="476">
        <f t="shared" si="1"/>
        <v>0</v>
      </c>
      <c r="O22" s="476">
        <f t="shared" si="2"/>
        <v>0</v>
      </c>
      <c r="P22" s="241"/>
    </row>
    <row r="23" spans="2:16">
      <c r="B23" s="160" t="str">
        <f t="shared" si="5"/>
        <v/>
      </c>
      <c r="C23" s="470">
        <f>IF(D11="","-",+C22+1)</f>
        <v>2026</v>
      </c>
      <c r="D23" s="481">
        <f>IF(F22+SUM(E$17:E22)=D$10,F22,D$10-SUM(E$17:E22))</f>
        <v>2068788.4640385399</v>
      </c>
      <c r="E23" s="482">
        <f t="shared" si="9"/>
        <v>63020.894736842107</v>
      </c>
      <c r="F23" s="483">
        <f t="shared" si="10"/>
        <v>2005767.5693016979</v>
      </c>
      <c r="G23" s="484">
        <f t="shared" si="11"/>
        <v>294741.2785046745</v>
      </c>
      <c r="H23" s="453">
        <f t="shared" si="12"/>
        <v>294741.2785046745</v>
      </c>
      <c r="I23" s="473">
        <f t="shared" si="3"/>
        <v>0</v>
      </c>
      <c r="J23" s="473"/>
      <c r="K23" s="485"/>
      <c r="L23" s="476">
        <f t="shared" si="13"/>
        <v>0</v>
      </c>
      <c r="M23" s="485"/>
      <c r="N23" s="476">
        <f t="shared" si="1"/>
        <v>0</v>
      </c>
      <c r="O23" s="476">
        <f t="shared" si="2"/>
        <v>0</v>
      </c>
      <c r="P23" s="241"/>
    </row>
    <row r="24" spans="2:16">
      <c r="B24" s="160" t="str">
        <f t="shared" si="5"/>
        <v/>
      </c>
      <c r="C24" s="470">
        <f>IF(D11="","-",+C23+1)</f>
        <v>2027</v>
      </c>
      <c r="D24" s="481">
        <f>IF(F23+SUM(E$17:E23)=D$10,F23,D$10-SUM(E$17:E23))</f>
        <v>2005767.5693016979</v>
      </c>
      <c r="E24" s="482">
        <f t="shared" si="9"/>
        <v>63020.894736842107</v>
      </c>
      <c r="F24" s="483">
        <f t="shared" si="10"/>
        <v>1942746.6745648559</v>
      </c>
      <c r="G24" s="484">
        <f t="shared" si="11"/>
        <v>287573.2701158725</v>
      </c>
      <c r="H24" s="453">
        <f t="shared" si="12"/>
        <v>287573.2701158725</v>
      </c>
      <c r="I24" s="473">
        <f t="shared" si="3"/>
        <v>0</v>
      </c>
      <c r="J24" s="473"/>
      <c r="K24" s="485"/>
      <c r="L24" s="476">
        <f t="shared" si="13"/>
        <v>0</v>
      </c>
      <c r="M24" s="485"/>
      <c r="N24" s="476">
        <f t="shared" si="1"/>
        <v>0</v>
      </c>
      <c r="O24" s="476">
        <f t="shared" si="2"/>
        <v>0</v>
      </c>
      <c r="P24" s="241"/>
    </row>
    <row r="25" spans="2:16">
      <c r="B25" s="160" t="str">
        <f t="shared" si="5"/>
        <v/>
      </c>
      <c r="C25" s="470">
        <f>IF(D11="","-",+C24+1)</f>
        <v>2028</v>
      </c>
      <c r="D25" s="481">
        <f>IF(F24+SUM(E$17:E24)=D$10,F24,D$10-SUM(E$17:E24))</f>
        <v>1942746.6745648559</v>
      </c>
      <c r="E25" s="482">
        <f t="shared" si="9"/>
        <v>63020.894736842107</v>
      </c>
      <c r="F25" s="483">
        <f t="shared" si="10"/>
        <v>1879725.7798280139</v>
      </c>
      <c r="G25" s="484">
        <f t="shared" si="11"/>
        <v>280405.26172707061</v>
      </c>
      <c r="H25" s="453">
        <f t="shared" si="12"/>
        <v>280405.26172707061</v>
      </c>
      <c r="I25" s="473">
        <f t="shared" si="3"/>
        <v>0</v>
      </c>
      <c r="J25" s="473"/>
      <c r="K25" s="485"/>
      <c r="L25" s="476">
        <f t="shared" si="13"/>
        <v>0</v>
      </c>
      <c r="M25" s="485"/>
      <c r="N25" s="476">
        <f t="shared" si="1"/>
        <v>0</v>
      </c>
      <c r="O25" s="476">
        <f t="shared" si="2"/>
        <v>0</v>
      </c>
      <c r="P25" s="241"/>
    </row>
    <row r="26" spans="2:16">
      <c r="B26" s="160" t="str">
        <f t="shared" si="5"/>
        <v/>
      </c>
      <c r="C26" s="470">
        <f>IF(D11="","-",+C25+1)</f>
        <v>2029</v>
      </c>
      <c r="D26" s="481">
        <f>IF(F25+SUM(E$17:E25)=D$10,F25,D$10-SUM(E$17:E25))</f>
        <v>1879725.7798280139</v>
      </c>
      <c r="E26" s="482">
        <f t="shared" si="9"/>
        <v>63020.894736842107</v>
      </c>
      <c r="F26" s="483">
        <f t="shared" si="10"/>
        <v>1816704.8850911718</v>
      </c>
      <c r="G26" s="484">
        <f t="shared" si="11"/>
        <v>273237.25333826861</v>
      </c>
      <c r="H26" s="453">
        <f t="shared" si="12"/>
        <v>273237.25333826861</v>
      </c>
      <c r="I26" s="473">
        <f t="shared" si="3"/>
        <v>0</v>
      </c>
      <c r="J26" s="473"/>
      <c r="K26" s="485"/>
      <c r="L26" s="476">
        <f t="shared" si="13"/>
        <v>0</v>
      </c>
      <c r="M26" s="485"/>
      <c r="N26" s="476">
        <f t="shared" si="1"/>
        <v>0</v>
      </c>
      <c r="O26" s="476">
        <f t="shared" si="2"/>
        <v>0</v>
      </c>
      <c r="P26" s="241"/>
    </row>
    <row r="27" spans="2:16">
      <c r="B27" s="160" t="str">
        <f t="shared" si="5"/>
        <v/>
      </c>
      <c r="C27" s="470">
        <f>IF(D11="","-",+C26+1)</f>
        <v>2030</v>
      </c>
      <c r="D27" s="481">
        <f>IF(F26+SUM(E$17:E26)=D$10,F26,D$10-SUM(E$17:E26))</f>
        <v>1816704.8850911718</v>
      </c>
      <c r="E27" s="482">
        <f t="shared" si="9"/>
        <v>63020.894736842107</v>
      </c>
      <c r="F27" s="483">
        <f t="shared" si="10"/>
        <v>1753683.9903543298</v>
      </c>
      <c r="G27" s="484">
        <f t="shared" si="11"/>
        <v>266069.24494946672</v>
      </c>
      <c r="H27" s="453">
        <f t="shared" si="12"/>
        <v>266069.24494946672</v>
      </c>
      <c r="I27" s="473">
        <f t="shared" si="3"/>
        <v>0</v>
      </c>
      <c r="J27" s="473"/>
      <c r="K27" s="485"/>
      <c r="L27" s="476">
        <f t="shared" si="13"/>
        <v>0</v>
      </c>
      <c r="M27" s="485"/>
      <c r="N27" s="476">
        <f t="shared" si="1"/>
        <v>0</v>
      </c>
      <c r="O27" s="476">
        <f t="shared" si="2"/>
        <v>0</v>
      </c>
      <c r="P27" s="241"/>
    </row>
    <row r="28" spans="2:16">
      <c r="B28" s="160" t="str">
        <f t="shared" si="5"/>
        <v/>
      </c>
      <c r="C28" s="470">
        <f>IF(D11="","-",+C27+1)</f>
        <v>2031</v>
      </c>
      <c r="D28" s="481">
        <f>IF(F27+SUM(E$17:E27)=D$10,F27,D$10-SUM(E$17:E27))</f>
        <v>1753683.9903543298</v>
      </c>
      <c r="E28" s="482">
        <f t="shared" si="9"/>
        <v>63020.894736842107</v>
      </c>
      <c r="F28" s="483">
        <f t="shared" si="10"/>
        <v>1690663.0956174878</v>
      </c>
      <c r="G28" s="484">
        <f t="shared" si="11"/>
        <v>258901.23656066475</v>
      </c>
      <c r="H28" s="453">
        <f t="shared" si="12"/>
        <v>258901.23656066475</v>
      </c>
      <c r="I28" s="473">
        <f t="shared" si="3"/>
        <v>0</v>
      </c>
      <c r="J28" s="473"/>
      <c r="K28" s="485"/>
      <c r="L28" s="476">
        <f t="shared" si="13"/>
        <v>0</v>
      </c>
      <c r="M28" s="485"/>
      <c r="N28" s="476">
        <f t="shared" si="1"/>
        <v>0</v>
      </c>
      <c r="O28" s="476">
        <f t="shared" si="2"/>
        <v>0</v>
      </c>
      <c r="P28" s="241"/>
    </row>
    <row r="29" spans="2:16">
      <c r="B29" s="160" t="str">
        <f t="shared" si="5"/>
        <v/>
      </c>
      <c r="C29" s="470">
        <f>IF(D11="","-",+C28+1)</f>
        <v>2032</v>
      </c>
      <c r="D29" s="481">
        <f>IF(F28+SUM(E$17:E28)=D$10,F28,D$10-SUM(E$17:E28))</f>
        <v>1690663.0956174878</v>
      </c>
      <c r="E29" s="482">
        <f t="shared" si="9"/>
        <v>63020.894736842107</v>
      </c>
      <c r="F29" s="483">
        <f t="shared" si="10"/>
        <v>1627642.2008806458</v>
      </c>
      <c r="G29" s="484">
        <f t="shared" si="11"/>
        <v>251733.22817186284</v>
      </c>
      <c r="H29" s="453">
        <f t="shared" si="12"/>
        <v>251733.22817186284</v>
      </c>
      <c r="I29" s="473">
        <f t="shared" si="3"/>
        <v>0</v>
      </c>
      <c r="J29" s="473"/>
      <c r="K29" s="485"/>
      <c r="L29" s="476">
        <f t="shared" si="13"/>
        <v>0</v>
      </c>
      <c r="M29" s="485"/>
      <c r="N29" s="476">
        <f t="shared" si="1"/>
        <v>0</v>
      </c>
      <c r="O29" s="476">
        <f t="shared" si="2"/>
        <v>0</v>
      </c>
      <c r="P29" s="241"/>
    </row>
    <row r="30" spans="2:16">
      <c r="B30" s="160" t="str">
        <f t="shared" si="5"/>
        <v/>
      </c>
      <c r="C30" s="470">
        <f>IF(D11="","-",+C29+1)</f>
        <v>2033</v>
      </c>
      <c r="D30" s="481">
        <f>IF(F29+SUM(E$17:E29)=D$10,F29,D$10-SUM(E$17:E29))</f>
        <v>1627642.2008806458</v>
      </c>
      <c r="E30" s="482">
        <f t="shared" si="9"/>
        <v>63020.894736842107</v>
      </c>
      <c r="F30" s="483">
        <f t="shared" si="10"/>
        <v>1564621.3061438038</v>
      </c>
      <c r="G30" s="484">
        <f t="shared" si="11"/>
        <v>244565.21978306086</v>
      </c>
      <c r="H30" s="453">
        <f t="shared" si="12"/>
        <v>244565.21978306086</v>
      </c>
      <c r="I30" s="473">
        <f t="shared" si="3"/>
        <v>0</v>
      </c>
      <c r="J30" s="473"/>
      <c r="K30" s="485"/>
      <c r="L30" s="476">
        <f t="shared" si="13"/>
        <v>0</v>
      </c>
      <c r="M30" s="485"/>
      <c r="N30" s="476">
        <f t="shared" si="1"/>
        <v>0</v>
      </c>
      <c r="O30" s="476">
        <f t="shared" si="2"/>
        <v>0</v>
      </c>
      <c r="P30" s="241"/>
    </row>
    <row r="31" spans="2:16">
      <c r="B31" s="160" t="str">
        <f t="shared" si="5"/>
        <v/>
      </c>
      <c r="C31" s="470">
        <f>IF(D11="","-",+C30+1)</f>
        <v>2034</v>
      </c>
      <c r="D31" s="481">
        <f>IF(F30+SUM(E$17:E30)=D$10,F30,D$10-SUM(E$17:E30))</f>
        <v>1564621.3061438038</v>
      </c>
      <c r="E31" s="482">
        <f t="shared" si="9"/>
        <v>63020.894736842107</v>
      </c>
      <c r="F31" s="483">
        <f t="shared" si="10"/>
        <v>1501600.4114069617</v>
      </c>
      <c r="G31" s="484">
        <f t="shared" si="11"/>
        <v>237397.21139425895</v>
      </c>
      <c r="H31" s="453">
        <f t="shared" si="12"/>
        <v>237397.21139425895</v>
      </c>
      <c r="I31" s="473">
        <f t="shared" si="3"/>
        <v>0</v>
      </c>
      <c r="J31" s="473"/>
      <c r="K31" s="485"/>
      <c r="L31" s="476">
        <f t="shared" si="13"/>
        <v>0</v>
      </c>
      <c r="M31" s="485"/>
      <c r="N31" s="476">
        <f t="shared" si="1"/>
        <v>0</v>
      </c>
      <c r="O31" s="476">
        <f t="shared" si="2"/>
        <v>0</v>
      </c>
      <c r="P31" s="241"/>
    </row>
    <row r="32" spans="2:16">
      <c r="B32" s="160" t="str">
        <f t="shared" si="5"/>
        <v/>
      </c>
      <c r="C32" s="470">
        <f>IF(D11="","-",+C31+1)</f>
        <v>2035</v>
      </c>
      <c r="D32" s="481">
        <f>IF(F31+SUM(E$17:E31)=D$10,F31,D$10-SUM(E$17:E31))</f>
        <v>1501600.4114069617</v>
      </c>
      <c r="E32" s="482">
        <f t="shared" si="9"/>
        <v>63020.894736842107</v>
      </c>
      <c r="F32" s="483">
        <f t="shared" si="10"/>
        <v>1438579.5166701197</v>
      </c>
      <c r="G32" s="484">
        <f t="shared" si="11"/>
        <v>230229.20300545698</v>
      </c>
      <c r="H32" s="453">
        <f t="shared" si="12"/>
        <v>230229.20300545698</v>
      </c>
      <c r="I32" s="473">
        <f t="shared" si="3"/>
        <v>0</v>
      </c>
      <c r="J32" s="473"/>
      <c r="K32" s="485"/>
      <c r="L32" s="476">
        <f t="shared" si="13"/>
        <v>0</v>
      </c>
      <c r="M32" s="485"/>
      <c r="N32" s="476">
        <f t="shared" si="1"/>
        <v>0</v>
      </c>
      <c r="O32" s="476">
        <f t="shared" si="2"/>
        <v>0</v>
      </c>
      <c r="P32" s="241"/>
    </row>
    <row r="33" spans="2:16">
      <c r="B33" s="160" t="str">
        <f t="shared" si="5"/>
        <v/>
      </c>
      <c r="C33" s="470">
        <f>IF(D11="","-",+C32+1)</f>
        <v>2036</v>
      </c>
      <c r="D33" s="481">
        <f>IF(F32+SUM(E$17:E32)=D$10,F32,D$10-SUM(E$17:E32))</f>
        <v>1438579.5166701197</v>
      </c>
      <c r="E33" s="482">
        <f t="shared" si="9"/>
        <v>63020.894736842107</v>
      </c>
      <c r="F33" s="483">
        <f t="shared" si="10"/>
        <v>1375558.6219332777</v>
      </c>
      <c r="G33" s="484">
        <f t="shared" si="11"/>
        <v>223061.19461665506</v>
      </c>
      <c r="H33" s="453">
        <f t="shared" si="12"/>
        <v>223061.19461665506</v>
      </c>
      <c r="I33" s="473">
        <f t="shared" si="3"/>
        <v>0</v>
      </c>
      <c r="J33" s="473"/>
      <c r="K33" s="485"/>
      <c r="L33" s="476">
        <f t="shared" si="13"/>
        <v>0</v>
      </c>
      <c r="M33" s="485"/>
      <c r="N33" s="476">
        <f t="shared" si="1"/>
        <v>0</v>
      </c>
      <c r="O33" s="476">
        <f t="shared" si="2"/>
        <v>0</v>
      </c>
      <c r="P33" s="241"/>
    </row>
    <row r="34" spans="2:16">
      <c r="B34" s="160" t="str">
        <f t="shared" si="5"/>
        <v/>
      </c>
      <c r="C34" s="470">
        <f>IF(D11="","-",+C33+1)</f>
        <v>2037</v>
      </c>
      <c r="D34" s="481">
        <f>IF(F33+SUM(E$17:E33)=D$10,F33,D$10-SUM(E$17:E33))</f>
        <v>1375558.6219332777</v>
      </c>
      <c r="E34" s="482">
        <f t="shared" si="9"/>
        <v>63020.894736842107</v>
      </c>
      <c r="F34" s="483">
        <f t="shared" si="10"/>
        <v>1312537.7271964357</v>
      </c>
      <c r="G34" s="484">
        <f t="shared" si="11"/>
        <v>215893.18622785309</v>
      </c>
      <c r="H34" s="453">
        <f t="shared" si="12"/>
        <v>215893.18622785309</v>
      </c>
      <c r="I34" s="473">
        <f t="shared" si="3"/>
        <v>0</v>
      </c>
      <c r="J34" s="473"/>
      <c r="K34" s="485"/>
      <c r="L34" s="476">
        <f t="shared" si="13"/>
        <v>0</v>
      </c>
      <c r="M34" s="485"/>
      <c r="N34" s="476">
        <f t="shared" si="1"/>
        <v>0</v>
      </c>
      <c r="O34" s="476">
        <f t="shared" si="2"/>
        <v>0</v>
      </c>
      <c r="P34" s="241"/>
    </row>
    <row r="35" spans="2:16">
      <c r="B35" s="160" t="str">
        <f t="shared" si="5"/>
        <v/>
      </c>
      <c r="C35" s="470">
        <f>IF(D11="","-",+C34+1)</f>
        <v>2038</v>
      </c>
      <c r="D35" s="481">
        <f>IF(F34+SUM(E$17:E34)=D$10,F34,D$10-SUM(E$17:E34))</f>
        <v>1312537.7271964357</v>
      </c>
      <c r="E35" s="482">
        <f t="shared" si="9"/>
        <v>63020.894736842107</v>
      </c>
      <c r="F35" s="483">
        <f t="shared" si="10"/>
        <v>1249516.8324595937</v>
      </c>
      <c r="G35" s="484">
        <f t="shared" si="11"/>
        <v>208725.17783905118</v>
      </c>
      <c r="H35" s="453">
        <f t="shared" si="12"/>
        <v>208725.17783905118</v>
      </c>
      <c r="I35" s="473">
        <f t="shared" si="3"/>
        <v>0</v>
      </c>
      <c r="J35" s="473"/>
      <c r="K35" s="485"/>
      <c r="L35" s="476">
        <f t="shared" si="13"/>
        <v>0</v>
      </c>
      <c r="M35" s="485"/>
      <c r="N35" s="476">
        <f t="shared" si="1"/>
        <v>0</v>
      </c>
      <c r="O35" s="476">
        <f t="shared" si="2"/>
        <v>0</v>
      </c>
      <c r="P35" s="241"/>
    </row>
    <row r="36" spans="2:16">
      <c r="B36" s="160" t="str">
        <f t="shared" si="5"/>
        <v/>
      </c>
      <c r="C36" s="470">
        <f>IF(D11="","-",+C35+1)</f>
        <v>2039</v>
      </c>
      <c r="D36" s="481">
        <f>IF(F35+SUM(E$17:E35)=D$10,F35,D$10-SUM(E$17:E35))</f>
        <v>1249516.8324595937</v>
      </c>
      <c r="E36" s="482">
        <f t="shared" si="9"/>
        <v>63020.894736842107</v>
      </c>
      <c r="F36" s="483">
        <f t="shared" si="10"/>
        <v>1186495.9377227516</v>
      </c>
      <c r="G36" s="484">
        <f t="shared" si="11"/>
        <v>201557.1694502492</v>
      </c>
      <c r="H36" s="453">
        <f t="shared" si="12"/>
        <v>201557.1694502492</v>
      </c>
      <c r="I36" s="473">
        <f t="shared" si="3"/>
        <v>0</v>
      </c>
      <c r="J36" s="473"/>
      <c r="K36" s="485"/>
      <c r="L36" s="476">
        <f t="shared" si="13"/>
        <v>0</v>
      </c>
      <c r="M36" s="485"/>
      <c r="N36" s="476">
        <f t="shared" si="1"/>
        <v>0</v>
      </c>
      <c r="O36" s="476">
        <f t="shared" si="2"/>
        <v>0</v>
      </c>
      <c r="P36" s="241"/>
    </row>
    <row r="37" spans="2:16">
      <c r="B37" s="160" t="str">
        <f t="shared" si="5"/>
        <v/>
      </c>
      <c r="C37" s="470">
        <f>IF(D11="","-",+C36+1)</f>
        <v>2040</v>
      </c>
      <c r="D37" s="481">
        <f>IF(F36+SUM(E$17:E36)=D$10,F36,D$10-SUM(E$17:E36))</f>
        <v>1186495.9377227516</v>
      </c>
      <c r="E37" s="482">
        <f t="shared" si="9"/>
        <v>63020.894736842107</v>
      </c>
      <c r="F37" s="483">
        <f t="shared" si="10"/>
        <v>1123475.0429859096</v>
      </c>
      <c r="G37" s="484">
        <f t="shared" si="11"/>
        <v>194389.16106144729</v>
      </c>
      <c r="H37" s="453">
        <f t="shared" si="12"/>
        <v>194389.16106144729</v>
      </c>
      <c r="I37" s="473">
        <f t="shared" si="3"/>
        <v>0</v>
      </c>
      <c r="J37" s="473"/>
      <c r="K37" s="485"/>
      <c r="L37" s="476">
        <f t="shared" si="13"/>
        <v>0</v>
      </c>
      <c r="M37" s="485"/>
      <c r="N37" s="476">
        <f t="shared" si="1"/>
        <v>0</v>
      </c>
      <c r="O37" s="476">
        <f t="shared" si="2"/>
        <v>0</v>
      </c>
      <c r="P37" s="241"/>
    </row>
    <row r="38" spans="2:16">
      <c r="B38" s="160" t="str">
        <f t="shared" si="5"/>
        <v/>
      </c>
      <c r="C38" s="470">
        <f>IF(D11="","-",+C37+1)</f>
        <v>2041</v>
      </c>
      <c r="D38" s="481">
        <f>IF(F37+SUM(E$17:E37)=D$10,F37,D$10-SUM(E$17:E37))</f>
        <v>1123475.0429859096</v>
      </c>
      <c r="E38" s="482">
        <f t="shared" si="9"/>
        <v>63020.894736842107</v>
      </c>
      <c r="F38" s="483">
        <f t="shared" si="10"/>
        <v>1060454.1482490676</v>
      </c>
      <c r="G38" s="484">
        <f t="shared" si="11"/>
        <v>187221.15267264529</v>
      </c>
      <c r="H38" s="453">
        <f t="shared" si="12"/>
        <v>187221.15267264529</v>
      </c>
      <c r="I38" s="473">
        <f t="shared" si="3"/>
        <v>0</v>
      </c>
      <c r="J38" s="473"/>
      <c r="K38" s="485"/>
      <c r="L38" s="476">
        <f t="shared" si="13"/>
        <v>0</v>
      </c>
      <c r="M38" s="485"/>
      <c r="N38" s="476">
        <f t="shared" si="1"/>
        <v>0</v>
      </c>
      <c r="O38" s="476">
        <f t="shared" si="2"/>
        <v>0</v>
      </c>
      <c r="P38" s="241"/>
    </row>
    <row r="39" spans="2:16">
      <c r="B39" s="160" t="str">
        <f t="shared" si="5"/>
        <v/>
      </c>
      <c r="C39" s="470">
        <f>IF(D11="","-",+C38+1)</f>
        <v>2042</v>
      </c>
      <c r="D39" s="481">
        <f>IF(F38+SUM(E$17:E38)=D$10,F38,D$10-SUM(E$17:E38))</f>
        <v>1060454.1482490676</v>
      </c>
      <c r="E39" s="482">
        <f t="shared" si="9"/>
        <v>63020.894736842107</v>
      </c>
      <c r="F39" s="483">
        <f t="shared" si="10"/>
        <v>997433.25351222546</v>
      </c>
      <c r="G39" s="484">
        <f t="shared" si="11"/>
        <v>180053.14428384334</v>
      </c>
      <c r="H39" s="453">
        <f t="shared" si="12"/>
        <v>180053.14428384334</v>
      </c>
      <c r="I39" s="473">
        <f t="shared" si="3"/>
        <v>0</v>
      </c>
      <c r="J39" s="473"/>
      <c r="K39" s="485"/>
      <c r="L39" s="476">
        <f t="shared" si="13"/>
        <v>0</v>
      </c>
      <c r="M39" s="485"/>
      <c r="N39" s="476">
        <f t="shared" si="1"/>
        <v>0</v>
      </c>
      <c r="O39" s="476">
        <f t="shared" si="2"/>
        <v>0</v>
      </c>
      <c r="P39" s="241"/>
    </row>
    <row r="40" spans="2:16">
      <c r="B40" s="160" t="str">
        <f t="shared" si="5"/>
        <v/>
      </c>
      <c r="C40" s="470">
        <f>IF(D11="","-",+C39+1)</f>
        <v>2043</v>
      </c>
      <c r="D40" s="481">
        <f>IF(F39+SUM(E$17:E39)=D$10,F39,D$10-SUM(E$17:E39))</f>
        <v>997433.25351222546</v>
      </c>
      <c r="E40" s="482">
        <f t="shared" si="9"/>
        <v>63020.894736842107</v>
      </c>
      <c r="F40" s="483">
        <f t="shared" si="10"/>
        <v>934412.35877538333</v>
      </c>
      <c r="G40" s="484">
        <f t="shared" si="11"/>
        <v>172885.1358950414</v>
      </c>
      <c r="H40" s="453">
        <f t="shared" si="12"/>
        <v>172885.1358950414</v>
      </c>
      <c r="I40" s="473">
        <f t="shared" si="3"/>
        <v>0</v>
      </c>
      <c r="J40" s="473"/>
      <c r="K40" s="485"/>
      <c r="L40" s="476">
        <f t="shared" si="13"/>
        <v>0</v>
      </c>
      <c r="M40" s="485"/>
      <c r="N40" s="476">
        <f t="shared" si="1"/>
        <v>0</v>
      </c>
      <c r="O40" s="476">
        <f t="shared" si="2"/>
        <v>0</v>
      </c>
      <c r="P40" s="241"/>
    </row>
    <row r="41" spans="2:16">
      <c r="B41" s="160" t="str">
        <f t="shared" si="5"/>
        <v/>
      </c>
      <c r="C41" s="470">
        <f>IF(D11="","-",+C40+1)</f>
        <v>2044</v>
      </c>
      <c r="D41" s="481">
        <f>IF(F40+SUM(E$17:E40)=D$10,F40,D$10-SUM(E$17:E40))</f>
        <v>934412.35877538333</v>
      </c>
      <c r="E41" s="482">
        <f t="shared" si="9"/>
        <v>63020.894736842107</v>
      </c>
      <c r="F41" s="483">
        <f t="shared" si="10"/>
        <v>871391.46403854119</v>
      </c>
      <c r="G41" s="484">
        <f t="shared" si="11"/>
        <v>165717.12750623946</v>
      </c>
      <c r="H41" s="453">
        <f t="shared" si="12"/>
        <v>165717.12750623946</v>
      </c>
      <c r="I41" s="473">
        <f t="shared" si="3"/>
        <v>0</v>
      </c>
      <c r="J41" s="473"/>
      <c r="K41" s="485"/>
      <c r="L41" s="476">
        <f t="shared" si="13"/>
        <v>0</v>
      </c>
      <c r="M41" s="485"/>
      <c r="N41" s="476">
        <f t="shared" si="1"/>
        <v>0</v>
      </c>
      <c r="O41" s="476">
        <f t="shared" si="2"/>
        <v>0</v>
      </c>
      <c r="P41" s="241"/>
    </row>
    <row r="42" spans="2:16">
      <c r="B42" s="160" t="str">
        <f t="shared" si="5"/>
        <v/>
      </c>
      <c r="C42" s="470">
        <f>IF(D11="","-",+C41+1)</f>
        <v>2045</v>
      </c>
      <c r="D42" s="481">
        <f>IF(F41+SUM(E$17:E41)=D$10,F41,D$10-SUM(E$17:E41))</f>
        <v>871391.46403854119</v>
      </c>
      <c r="E42" s="482">
        <f t="shared" si="9"/>
        <v>63020.894736842107</v>
      </c>
      <c r="F42" s="483">
        <f t="shared" si="10"/>
        <v>808370.56930169906</v>
      </c>
      <c r="G42" s="484">
        <f t="shared" si="11"/>
        <v>158549.11911743751</v>
      </c>
      <c r="H42" s="453">
        <f t="shared" si="12"/>
        <v>158549.11911743751</v>
      </c>
      <c r="I42" s="473">
        <f t="shared" si="3"/>
        <v>0</v>
      </c>
      <c r="J42" s="473"/>
      <c r="K42" s="485"/>
      <c r="L42" s="476">
        <f t="shared" si="13"/>
        <v>0</v>
      </c>
      <c r="M42" s="485"/>
      <c r="N42" s="476">
        <f t="shared" si="1"/>
        <v>0</v>
      </c>
      <c r="O42" s="476">
        <f t="shared" si="2"/>
        <v>0</v>
      </c>
      <c r="P42" s="241"/>
    </row>
    <row r="43" spans="2:16">
      <c r="B43" s="160" t="str">
        <f t="shared" si="5"/>
        <v/>
      </c>
      <c r="C43" s="470">
        <f>IF(D11="","-",+C42+1)</f>
        <v>2046</v>
      </c>
      <c r="D43" s="481">
        <f>IF(F42+SUM(E$17:E42)=D$10,F42,D$10-SUM(E$17:E42))</f>
        <v>808370.56930169906</v>
      </c>
      <c r="E43" s="482">
        <f t="shared" si="9"/>
        <v>63020.894736842107</v>
      </c>
      <c r="F43" s="483">
        <f t="shared" si="10"/>
        <v>745349.67456485692</v>
      </c>
      <c r="G43" s="484">
        <f t="shared" si="11"/>
        <v>151381.11072863551</v>
      </c>
      <c r="H43" s="453">
        <f t="shared" si="12"/>
        <v>151381.11072863551</v>
      </c>
      <c r="I43" s="473">
        <f t="shared" si="3"/>
        <v>0</v>
      </c>
      <c r="J43" s="473"/>
      <c r="K43" s="485"/>
      <c r="L43" s="476">
        <f t="shared" si="13"/>
        <v>0</v>
      </c>
      <c r="M43" s="485"/>
      <c r="N43" s="476">
        <f t="shared" si="1"/>
        <v>0</v>
      </c>
      <c r="O43" s="476">
        <f t="shared" si="2"/>
        <v>0</v>
      </c>
      <c r="P43" s="241"/>
    </row>
    <row r="44" spans="2:16">
      <c r="B44" s="160" t="str">
        <f t="shared" si="5"/>
        <v/>
      </c>
      <c r="C44" s="470">
        <f>IF(D11="","-",+C43+1)</f>
        <v>2047</v>
      </c>
      <c r="D44" s="481">
        <f>IF(F43+SUM(E$17:E43)=D$10,F43,D$10-SUM(E$17:E43))</f>
        <v>745349.67456485692</v>
      </c>
      <c r="E44" s="482">
        <f t="shared" si="9"/>
        <v>63020.894736842107</v>
      </c>
      <c r="F44" s="483">
        <f t="shared" si="10"/>
        <v>682328.77982801478</v>
      </c>
      <c r="G44" s="484">
        <f t="shared" si="11"/>
        <v>144213.10233983357</v>
      </c>
      <c r="H44" s="453">
        <f t="shared" si="12"/>
        <v>144213.10233983357</v>
      </c>
      <c r="I44" s="473">
        <f t="shared" si="3"/>
        <v>0</v>
      </c>
      <c r="J44" s="473"/>
      <c r="K44" s="485"/>
      <c r="L44" s="476">
        <f t="shared" si="13"/>
        <v>0</v>
      </c>
      <c r="M44" s="485"/>
      <c r="N44" s="476">
        <f t="shared" si="1"/>
        <v>0</v>
      </c>
      <c r="O44" s="476">
        <f t="shared" si="2"/>
        <v>0</v>
      </c>
      <c r="P44" s="241"/>
    </row>
    <row r="45" spans="2:16">
      <c r="B45" s="160" t="str">
        <f t="shared" si="5"/>
        <v/>
      </c>
      <c r="C45" s="470">
        <f>IF(D11="","-",+C44+1)</f>
        <v>2048</v>
      </c>
      <c r="D45" s="481">
        <f>IF(F44+SUM(E$17:E44)=D$10,F44,D$10-SUM(E$17:E44))</f>
        <v>682328.77982801478</v>
      </c>
      <c r="E45" s="482">
        <f t="shared" si="9"/>
        <v>63020.894736842107</v>
      </c>
      <c r="F45" s="483">
        <f t="shared" si="10"/>
        <v>619307.88509117265</v>
      </c>
      <c r="G45" s="484">
        <f t="shared" si="11"/>
        <v>137045.09395103162</v>
      </c>
      <c r="H45" s="453">
        <f t="shared" si="12"/>
        <v>137045.09395103162</v>
      </c>
      <c r="I45" s="473">
        <f t="shared" si="3"/>
        <v>0</v>
      </c>
      <c r="J45" s="473"/>
      <c r="K45" s="485"/>
      <c r="L45" s="476">
        <f t="shared" si="13"/>
        <v>0</v>
      </c>
      <c r="M45" s="485"/>
      <c r="N45" s="476">
        <f t="shared" si="1"/>
        <v>0</v>
      </c>
      <c r="O45" s="476">
        <f t="shared" si="2"/>
        <v>0</v>
      </c>
      <c r="P45" s="241"/>
    </row>
    <row r="46" spans="2:16">
      <c r="B46" s="160" t="str">
        <f t="shared" si="5"/>
        <v/>
      </c>
      <c r="C46" s="470">
        <f>IF(D11="","-",+C45+1)</f>
        <v>2049</v>
      </c>
      <c r="D46" s="481">
        <f>IF(F45+SUM(E$17:E45)=D$10,F45,D$10-SUM(E$17:E45))</f>
        <v>619307.88509117265</v>
      </c>
      <c r="E46" s="482">
        <f t="shared" si="9"/>
        <v>63020.894736842107</v>
      </c>
      <c r="F46" s="483">
        <f t="shared" si="10"/>
        <v>556286.99035433051</v>
      </c>
      <c r="G46" s="484">
        <f t="shared" si="11"/>
        <v>129877.08556222967</v>
      </c>
      <c r="H46" s="453">
        <f t="shared" si="12"/>
        <v>129877.08556222967</v>
      </c>
      <c r="I46" s="473">
        <f t="shared" si="3"/>
        <v>0</v>
      </c>
      <c r="J46" s="473"/>
      <c r="K46" s="485"/>
      <c r="L46" s="476">
        <f t="shared" si="13"/>
        <v>0</v>
      </c>
      <c r="M46" s="485"/>
      <c r="N46" s="476">
        <f t="shared" si="1"/>
        <v>0</v>
      </c>
      <c r="O46" s="476">
        <f t="shared" si="2"/>
        <v>0</v>
      </c>
      <c r="P46" s="241"/>
    </row>
    <row r="47" spans="2:16">
      <c r="B47" s="160" t="str">
        <f t="shared" si="5"/>
        <v/>
      </c>
      <c r="C47" s="470">
        <f>IF(D11="","-",+C46+1)</f>
        <v>2050</v>
      </c>
      <c r="D47" s="481">
        <f>IF(F46+SUM(E$17:E46)=D$10,F46,D$10-SUM(E$17:E46))</f>
        <v>556286.99035433051</v>
      </c>
      <c r="E47" s="482">
        <f t="shared" si="9"/>
        <v>63020.894736842107</v>
      </c>
      <c r="F47" s="483">
        <f t="shared" si="10"/>
        <v>493266.09561748838</v>
      </c>
      <c r="G47" s="484">
        <f t="shared" si="11"/>
        <v>122709.07717342769</v>
      </c>
      <c r="H47" s="453">
        <f t="shared" si="12"/>
        <v>122709.07717342769</v>
      </c>
      <c r="I47" s="473">
        <f t="shared" si="3"/>
        <v>0</v>
      </c>
      <c r="J47" s="473"/>
      <c r="K47" s="485"/>
      <c r="L47" s="476">
        <f t="shared" si="13"/>
        <v>0</v>
      </c>
      <c r="M47" s="485"/>
      <c r="N47" s="476">
        <f t="shared" si="1"/>
        <v>0</v>
      </c>
      <c r="O47" s="476">
        <f t="shared" si="2"/>
        <v>0</v>
      </c>
      <c r="P47" s="241"/>
    </row>
    <row r="48" spans="2:16">
      <c r="B48" s="160" t="str">
        <f t="shared" si="5"/>
        <v/>
      </c>
      <c r="C48" s="470">
        <f>IF(D11="","-",+C47+1)</f>
        <v>2051</v>
      </c>
      <c r="D48" s="481">
        <f>IF(F47+SUM(E$17:E47)=D$10,F47,D$10-SUM(E$17:E47))</f>
        <v>493266.09561748838</v>
      </c>
      <c r="E48" s="482">
        <f t="shared" si="9"/>
        <v>63020.894736842107</v>
      </c>
      <c r="F48" s="483">
        <f t="shared" si="10"/>
        <v>430245.20088064624</v>
      </c>
      <c r="G48" s="484">
        <f t="shared" si="11"/>
        <v>115541.06878462574</v>
      </c>
      <c r="H48" s="453">
        <f t="shared" si="12"/>
        <v>115541.06878462574</v>
      </c>
      <c r="I48" s="473">
        <f t="shared" si="3"/>
        <v>0</v>
      </c>
      <c r="J48" s="473"/>
      <c r="K48" s="485"/>
      <c r="L48" s="476">
        <f t="shared" si="13"/>
        <v>0</v>
      </c>
      <c r="M48" s="485"/>
      <c r="N48" s="476">
        <f t="shared" si="1"/>
        <v>0</v>
      </c>
      <c r="O48" s="476">
        <f t="shared" si="2"/>
        <v>0</v>
      </c>
      <c r="P48" s="241"/>
    </row>
    <row r="49" spans="2:16">
      <c r="B49" s="160" t="str">
        <f t="shared" si="5"/>
        <v/>
      </c>
      <c r="C49" s="470">
        <f>IF(D11="","-",+C48+1)</f>
        <v>2052</v>
      </c>
      <c r="D49" s="481">
        <f>IF(F48+SUM(E$17:E48)=D$10,F48,D$10-SUM(E$17:E48))</f>
        <v>430245.20088064624</v>
      </c>
      <c r="E49" s="482">
        <f t="shared" si="9"/>
        <v>63020.894736842107</v>
      </c>
      <c r="F49" s="483">
        <f t="shared" si="10"/>
        <v>367224.3061438041</v>
      </c>
      <c r="G49" s="484">
        <f t="shared" si="11"/>
        <v>108373.06039582379</v>
      </c>
      <c r="H49" s="453">
        <f t="shared" si="12"/>
        <v>108373.06039582379</v>
      </c>
      <c r="I49" s="473">
        <f t="shared" si="3"/>
        <v>0</v>
      </c>
      <c r="J49" s="473"/>
      <c r="K49" s="485"/>
      <c r="L49" s="476">
        <f t="shared" si="13"/>
        <v>0</v>
      </c>
      <c r="M49" s="485"/>
      <c r="N49" s="476">
        <f t="shared" si="1"/>
        <v>0</v>
      </c>
      <c r="O49" s="476">
        <f t="shared" si="2"/>
        <v>0</v>
      </c>
      <c r="P49" s="241"/>
    </row>
    <row r="50" spans="2:16">
      <c r="B50" s="160" t="str">
        <f t="shared" si="5"/>
        <v/>
      </c>
      <c r="C50" s="470">
        <f>IF(D11="","-",+C49+1)</f>
        <v>2053</v>
      </c>
      <c r="D50" s="481">
        <f>IF(F49+SUM(E$17:E49)=D$10,F49,D$10-SUM(E$17:E49))</f>
        <v>367224.3061438041</v>
      </c>
      <c r="E50" s="482">
        <f t="shared" si="9"/>
        <v>63020.894736842107</v>
      </c>
      <c r="F50" s="483">
        <f t="shared" si="10"/>
        <v>304203.41140696197</v>
      </c>
      <c r="G50" s="484">
        <f t="shared" si="11"/>
        <v>101205.05200702182</v>
      </c>
      <c r="H50" s="453">
        <f t="shared" si="12"/>
        <v>101205.05200702182</v>
      </c>
      <c r="I50" s="473">
        <f t="shared" si="3"/>
        <v>0</v>
      </c>
      <c r="J50" s="473"/>
      <c r="K50" s="485"/>
      <c r="L50" s="476">
        <f t="shared" si="13"/>
        <v>0</v>
      </c>
      <c r="M50" s="485"/>
      <c r="N50" s="476">
        <f t="shared" si="1"/>
        <v>0</v>
      </c>
      <c r="O50" s="476">
        <f t="shared" si="2"/>
        <v>0</v>
      </c>
      <c r="P50" s="241"/>
    </row>
    <row r="51" spans="2:16">
      <c r="B51" s="160" t="str">
        <f t="shared" si="5"/>
        <v/>
      </c>
      <c r="C51" s="470">
        <f>IF(D11="","-",+C50+1)</f>
        <v>2054</v>
      </c>
      <c r="D51" s="481">
        <f>IF(F50+SUM(E$17:E50)=D$10,F50,D$10-SUM(E$17:E50))</f>
        <v>304203.41140696197</v>
      </c>
      <c r="E51" s="482">
        <f t="shared" si="9"/>
        <v>63020.894736842107</v>
      </c>
      <c r="F51" s="483">
        <f t="shared" si="10"/>
        <v>241182.51667011986</v>
      </c>
      <c r="G51" s="484">
        <f t="shared" si="11"/>
        <v>94037.043618219875</v>
      </c>
      <c r="H51" s="453">
        <f t="shared" si="12"/>
        <v>94037.043618219875</v>
      </c>
      <c r="I51" s="473">
        <f t="shared" si="3"/>
        <v>0</v>
      </c>
      <c r="J51" s="473"/>
      <c r="K51" s="485"/>
      <c r="L51" s="476">
        <f t="shared" si="13"/>
        <v>0</v>
      </c>
      <c r="M51" s="485"/>
      <c r="N51" s="476">
        <f t="shared" si="1"/>
        <v>0</v>
      </c>
      <c r="O51" s="476">
        <f t="shared" si="2"/>
        <v>0</v>
      </c>
      <c r="P51" s="241"/>
    </row>
    <row r="52" spans="2:16">
      <c r="B52" s="160" t="str">
        <f t="shared" si="5"/>
        <v/>
      </c>
      <c r="C52" s="470">
        <f>IF(D11="","-",+C51+1)</f>
        <v>2055</v>
      </c>
      <c r="D52" s="481">
        <f>IF(F51+SUM(E$17:E51)=D$10,F51,D$10-SUM(E$17:E51))</f>
        <v>241182.51667011986</v>
      </c>
      <c r="E52" s="482">
        <f t="shared" si="9"/>
        <v>63020.894736842107</v>
      </c>
      <c r="F52" s="483">
        <f t="shared" si="10"/>
        <v>178161.62193327775</v>
      </c>
      <c r="G52" s="484">
        <f t="shared" si="11"/>
        <v>86869.035229417917</v>
      </c>
      <c r="H52" s="453">
        <f t="shared" si="12"/>
        <v>86869.035229417917</v>
      </c>
      <c r="I52" s="473">
        <f t="shared" si="3"/>
        <v>0</v>
      </c>
      <c r="J52" s="473"/>
      <c r="K52" s="485"/>
      <c r="L52" s="476">
        <f t="shared" si="13"/>
        <v>0</v>
      </c>
      <c r="M52" s="485"/>
      <c r="N52" s="476">
        <f t="shared" si="1"/>
        <v>0</v>
      </c>
      <c r="O52" s="476">
        <f t="shared" si="2"/>
        <v>0</v>
      </c>
      <c r="P52" s="241"/>
    </row>
    <row r="53" spans="2:16">
      <c r="B53" s="160" t="str">
        <f t="shared" si="5"/>
        <v/>
      </c>
      <c r="C53" s="470">
        <f>IF(D11="","-",+C52+1)</f>
        <v>2056</v>
      </c>
      <c r="D53" s="481">
        <f>IF(F52+SUM(E$17:E52)=D$10,F52,D$10-SUM(E$17:E52))</f>
        <v>178161.62193327775</v>
      </c>
      <c r="E53" s="482">
        <f t="shared" si="9"/>
        <v>63020.894736842107</v>
      </c>
      <c r="F53" s="483">
        <f t="shared" si="10"/>
        <v>115140.72719643565</v>
      </c>
      <c r="G53" s="484">
        <f t="shared" si="11"/>
        <v>79701.026840615959</v>
      </c>
      <c r="H53" s="453">
        <f t="shared" si="12"/>
        <v>79701.026840615959</v>
      </c>
      <c r="I53" s="473">
        <f t="shared" si="3"/>
        <v>0</v>
      </c>
      <c r="J53" s="473"/>
      <c r="K53" s="485"/>
      <c r="L53" s="476">
        <f t="shared" si="13"/>
        <v>0</v>
      </c>
      <c r="M53" s="485"/>
      <c r="N53" s="476">
        <f t="shared" si="1"/>
        <v>0</v>
      </c>
      <c r="O53" s="476">
        <f t="shared" si="2"/>
        <v>0</v>
      </c>
      <c r="P53" s="241"/>
    </row>
    <row r="54" spans="2:16">
      <c r="B54" s="160" t="str">
        <f t="shared" si="5"/>
        <v/>
      </c>
      <c r="C54" s="470">
        <f>IF(D11="","-",+C53+1)</f>
        <v>2057</v>
      </c>
      <c r="D54" s="481">
        <f>IF(F53+SUM(E$17:E53)=D$10,F53,D$10-SUM(E$17:E53))</f>
        <v>115140.72719643565</v>
      </c>
      <c r="E54" s="482">
        <f t="shared" si="9"/>
        <v>63020.894736842107</v>
      </c>
      <c r="F54" s="483">
        <f t="shared" si="10"/>
        <v>52119.832459593541</v>
      </c>
      <c r="G54" s="484">
        <f t="shared" si="11"/>
        <v>72533.018451814001</v>
      </c>
      <c r="H54" s="453">
        <f t="shared" si="12"/>
        <v>72533.018451814001</v>
      </c>
      <c r="I54" s="473">
        <f t="shared" si="3"/>
        <v>0</v>
      </c>
      <c r="J54" s="473"/>
      <c r="K54" s="485"/>
      <c r="L54" s="476">
        <f t="shared" si="13"/>
        <v>0</v>
      </c>
      <c r="M54" s="485"/>
      <c r="N54" s="476">
        <f t="shared" si="1"/>
        <v>0</v>
      </c>
      <c r="O54" s="476">
        <f t="shared" si="2"/>
        <v>0</v>
      </c>
      <c r="P54" s="241"/>
    </row>
    <row r="55" spans="2:16">
      <c r="B55" s="160" t="str">
        <f t="shared" si="5"/>
        <v/>
      </c>
      <c r="C55" s="470">
        <f>IF(D11="","-",+C54+1)</f>
        <v>2058</v>
      </c>
      <c r="D55" s="481">
        <f>IF(F54+SUM(E$17:E54)=D$10,F54,D$10-SUM(E$17:E54))</f>
        <v>52119.832459593541</v>
      </c>
      <c r="E55" s="482">
        <f t="shared" si="9"/>
        <v>52119.832459593541</v>
      </c>
      <c r="F55" s="483">
        <f t="shared" si="10"/>
        <v>0</v>
      </c>
      <c r="G55" s="484">
        <f t="shared" si="11"/>
        <v>55083.892219879002</v>
      </c>
      <c r="H55" s="453">
        <f t="shared" si="12"/>
        <v>55083.892219879002</v>
      </c>
      <c r="I55" s="473">
        <f t="shared" si="3"/>
        <v>0</v>
      </c>
      <c r="J55" s="473"/>
      <c r="K55" s="485"/>
      <c r="L55" s="476">
        <f t="shared" si="13"/>
        <v>0</v>
      </c>
      <c r="M55" s="485"/>
      <c r="N55" s="476">
        <f t="shared" si="1"/>
        <v>0</v>
      </c>
      <c r="O55" s="476">
        <f t="shared" si="2"/>
        <v>0</v>
      </c>
      <c r="P55" s="241"/>
    </row>
    <row r="56" spans="2:16">
      <c r="B56" s="160" t="str">
        <f t="shared" si="5"/>
        <v/>
      </c>
      <c r="C56" s="470">
        <f>IF(D11="","-",+C55+1)</f>
        <v>2059</v>
      </c>
      <c r="D56" s="481">
        <f>IF(F55+SUM(E$17:E55)=D$10,F55,D$10-SUM(E$17:E55))</f>
        <v>0</v>
      </c>
      <c r="E56" s="482">
        <f t="shared" si="9"/>
        <v>0</v>
      </c>
      <c r="F56" s="483">
        <f t="shared" si="10"/>
        <v>0</v>
      </c>
      <c r="G56" s="484">
        <f t="shared" si="11"/>
        <v>0</v>
      </c>
      <c r="H56" s="453">
        <f t="shared" si="12"/>
        <v>0</v>
      </c>
      <c r="I56" s="473">
        <f t="shared" si="3"/>
        <v>0</v>
      </c>
      <c r="J56" s="473"/>
      <c r="K56" s="485"/>
      <c r="L56" s="476">
        <f t="shared" si="13"/>
        <v>0</v>
      </c>
      <c r="M56" s="485"/>
      <c r="N56" s="476">
        <f t="shared" si="1"/>
        <v>0</v>
      </c>
      <c r="O56" s="476">
        <f t="shared" si="2"/>
        <v>0</v>
      </c>
      <c r="P56" s="241"/>
    </row>
    <row r="57" spans="2:16">
      <c r="B57" s="160" t="str">
        <f t="shared" si="5"/>
        <v/>
      </c>
      <c r="C57" s="470">
        <f>IF(D11="","-",+C56+1)</f>
        <v>2060</v>
      </c>
      <c r="D57" s="481">
        <f>IF(F56+SUM(E$17:E56)=D$10,F56,D$10-SUM(E$17:E56))</f>
        <v>0</v>
      </c>
      <c r="E57" s="482">
        <f t="shared" si="9"/>
        <v>0</v>
      </c>
      <c r="F57" s="483">
        <f t="shared" si="10"/>
        <v>0</v>
      </c>
      <c r="G57" s="484">
        <f t="shared" si="11"/>
        <v>0</v>
      </c>
      <c r="H57" s="453">
        <f t="shared" si="12"/>
        <v>0</v>
      </c>
      <c r="I57" s="473">
        <f t="shared" si="3"/>
        <v>0</v>
      </c>
      <c r="J57" s="473"/>
      <c r="K57" s="485"/>
      <c r="L57" s="476">
        <f t="shared" si="13"/>
        <v>0</v>
      </c>
      <c r="M57" s="485"/>
      <c r="N57" s="476">
        <f t="shared" si="1"/>
        <v>0</v>
      </c>
      <c r="O57" s="476">
        <f t="shared" si="2"/>
        <v>0</v>
      </c>
      <c r="P57" s="241"/>
    </row>
    <row r="58" spans="2:16">
      <c r="B58" s="160" t="str">
        <f t="shared" si="5"/>
        <v/>
      </c>
      <c r="C58" s="470">
        <f>IF(D11="","-",+C57+1)</f>
        <v>2061</v>
      </c>
      <c r="D58" s="481">
        <f>IF(F57+SUM(E$17:E57)=D$10,F57,D$10-SUM(E$17:E57))</f>
        <v>0</v>
      </c>
      <c r="E58" s="482">
        <f t="shared" si="9"/>
        <v>0</v>
      </c>
      <c r="F58" s="483">
        <f t="shared" si="10"/>
        <v>0</v>
      </c>
      <c r="G58" s="484">
        <f t="shared" si="11"/>
        <v>0</v>
      </c>
      <c r="H58" s="453">
        <f t="shared" si="12"/>
        <v>0</v>
      </c>
      <c r="I58" s="473">
        <f t="shared" si="3"/>
        <v>0</v>
      </c>
      <c r="J58" s="473"/>
      <c r="K58" s="485"/>
      <c r="L58" s="476">
        <f t="shared" si="13"/>
        <v>0</v>
      </c>
      <c r="M58" s="485"/>
      <c r="N58" s="476">
        <f t="shared" si="1"/>
        <v>0</v>
      </c>
      <c r="O58" s="476">
        <f t="shared" si="2"/>
        <v>0</v>
      </c>
      <c r="P58" s="241"/>
    </row>
    <row r="59" spans="2:16">
      <c r="B59" s="160" t="str">
        <f t="shared" si="5"/>
        <v/>
      </c>
      <c r="C59" s="470">
        <f>IF(D11="","-",+C58+1)</f>
        <v>2062</v>
      </c>
      <c r="D59" s="481">
        <f>IF(F58+SUM(E$17:E58)=D$10,F58,D$10-SUM(E$17:E58))</f>
        <v>0</v>
      </c>
      <c r="E59" s="482">
        <f t="shared" si="9"/>
        <v>0</v>
      </c>
      <c r="F59" s="483">
        <f t="shared" si="10"/>
        <v>0</v>
      </c>
      <c r="G59" s="484">
        <f t="shared" si="11"/>
        <v>0</v>
      </c>
      <c r="H59" s="453">
        <f t="shared" si="12"/>
        <v>0</v>
      </c>
      <c r="I59" s="473">
        <f t="shared" si="3"/>
        <v>0</v>
      </c>
      <c r="J59" s="473"/>
      <c r="K59" s="485"/>
      <c r="L59" s="476">
        <f t="shared" si="13"/>
        <v>0</v>
      </c>
      <c r="M59" s="485"/>
      <c r="N59" s="476">
        <f t="shared" si="1"/>
        <v>0</v>
      </c>
      <c r="O59" s="476">
        <f t="shared" si="2"/>
        <v>0</v>
      </c>
      <c r="P59" s="241"/>
    </row>
    <row r="60" spans="2:16">
      <c r="B60" s="160" t="str">
        <f t="shared" si="5"/>
        <v/>
      </c>
      <c r="C60" s="470">
        <f>IF(D11="","-",+C59+1)</f>
        <v>2063</v>
      </c>
      <c r="D60" s="481">
        <f>IF(F59+SUM(E$17:E59)=D$10,F59,D$10-SUM(E$17:E59))</f>
        <v>0</v>
      </c>
      <c r="E60" s="482">
        <f t="shared" si="9"/>
        <v>0</v>
      </c>
      <c r="F60" s="483">
        <f t="shared" si="10"/>
        <v>0</v>
      </c>
      <c r="G60" s="484">
        <f t="shared" si="11"/>
        <v>0</v>
      </c>
      <c r="H60" s="453">
        <f t="shared" si="12"/>
        <v>0</v>
      </c>
      <c r="I60" s="473">
        <f t="shared" si="3"/>
        <v>0</v>
      </c>
      <c r="J60" s="473"/>
      <c r="K60" s="485"/>
      <c r="L60" s="476">
        <f t="shared" si="13"/>
        <v>0</v>
      </c>
      <c r="M60" s="485"/>
      <c r="N60" s="476">
        <f t="shared" si="1"/>
        <v>0</v>
      </c>
      <c r="O60" s="476">
        <f t="shared" si="2"/>
        <v>0</v>
      </c>
      <c r="P60" s="241"/>
    </row>
    <row r="61" spans="2:16">
      <c r="B61" s="160" t="str">
        <f t="shared" si="5"/>
        <v/>
      </c>
      <c r="C61" s="470">
        <f>IF(D11="","-",+C60+1)</f>
        <v>2064</v>
      </c>
      <c r="D61" s="481">
        <f>IF(F60+SUM(E$17:E60)=D$10,F60,D$10-SUM(E$17:E60))</f>
        <v>0</v>
      </c>
      <c r="E61" s="482">
        <f t="shared" si="9"/>
        <v>0</v>
      </c>
      <c r="F61" s="483">
        <f t="shared" si="10"/>
        <v>0</v>
      </c>
      <c r="G61" s="484">
        <f t="shared" si="11"/>
        <v>0</v>
      </c>
      <c r="H61" s="453">
        <f t="shared" si="12"/>
        <v>0</v>
      </c>
      <c r="I61" s="473">
        <f t="shared" si="3"/>
        <v>0</v>
      </c>
      <c r="J61" s="473"/>
      <c r="K61" s="485"/>
      <c r="L61" s="476">
        <f t="shared" si="13"/>
        <v>0</v>
      </c>
      <c r="M61" s="485"/>
      <c r="N61" s="476">
        <f t="shared" si="1"/>
        <v>0</v>
      </c>
      <c r="O61" s="476">
        <f t="shared" si="2"/>
        <v>0</v>
      </c>
      <c r="P61" s="241"/>
    </row>
    <row r="62" spans="2:16">
      <c r="B62" s="160" t="str">
        <f t="shared" si="5"/>
        <v/>
      </c>
      <c r="C62" s="470">
        <f>IF(D11="","-",+C61+1)</f>
        <v>2065</v>
      </c>
      <c r="D62" s="481">
        <f>IF(F61+SUM(E$17:E61)=D$10,F61,D$10-SUM(E$17:E61))</f>
        <v>0</v>
      </c>
      <c r="E62" s="482">
        <f t="shared" si="9"/>
        <v>0</v>
      </c>
      <c r="F62" s="483">
        <f t="shared" si="10"/>
        <v>0</v>
      </c>
      <c r="G62" s="484">
        <f t="shared" si="11"/>
        <v>0</v>
      </c>
      <c r="H62" s="453">
        <f t="shared" si="12"/>
        <v>0</v>
      </c>
      <c r="I62" s="473">
        <f t="shared" si="3"/>
        <v>0</v>
      </c>
      <c r="J62" s="473"/>
      <c r="K62" s="485"/>
      <c r="L62" s="476">
        <f t="shared" si="13"/>
        <v>0</v>
      </c>
      <c r="M62" s="485"/>
      <c r="N62" s="476">
        <f t="shared" si="1"/>
        <v>0</v>
      </c>
      <c r="O62" s="476">
        <f t="shared" si="2"/>
        <v>0</v>
      </c>
      <c r="P62" s="241"/>
    </row>
    <row r="63" spans="2:16">
      <c r="B63" s="160" t="str">
        <f t="shared" si="5"/>
        <v/>
      </c>
      <c r="C63" s="470">
        <f>IF(D11="","-",+C62+1)</f>
        <v>2066</v>
      </c>
      <c r="D63" s="481">
        <f>IF(F62+SUM(E$17:E62)=D$10,F62,D$10-SUM(E$17:E62))</f>
        <v>0</v>
      </c>
      <c r="E63" s="482">
        <f t="shared" si="9"/>
        <v>0</v>
      </c>
      <c r="F63" s="483">
        <f t="shared" si="10"/>
        <v>0</v>
      </c>
      <c r="G63" s="484">
        <f t="shared" si="11"/>
        <v>0</v>
      </c>
      <c r="H63" s="453">
        <f t="shared" si="12"/>
        <v>0</v>
      </c>
      <c r="I63" s="473">
        <f t="shared" si="3"/>
        <v>0</v>
      </c>
      <c r="J63" s="473"/>
      <c r="K63" s="485"/>
      <c r="L63" s="476">
        <f t="shared" si="13"/>
        <v>0</v>
      </c>
      <c r="M63" s="485"/>
      <c r="N63" s="476">
        <f t="shared" si="1"/>
        <v>0</v>
      </c>
      <c r="O63" s="476">
        <f t="shared" si="2"/>
        <v>0</v>
      </c>
      <c r="P63" s="241"/>
    </row>
    <row r="64" spans="2:16">
      <c r="B64" s="160" t="str">
        <f t="shared" si="5"/>
        <v/>
      </c>
      <c r="C64" s="470">
        <f>IF(D11="","-",+C63+1)</f>
        <v>2067</v>
      </c>
      <c r="D64" s="481">
        <f>IF(F63+SUM(E$17:E63)=D$10,F63,D$10-SUM(E$17:E63))</f>
        <v>0</v>
      </c>
      <c r="E64" s="482">
        <f t="shared" si="9"/>
        <v>0</v>
      </c>
      <c r="F64" s="483">
        <f t="shared" si="10"/>
        <v>0</v>
      </c>
      <c r="G64" s="484">
        <f t="shared" si="11"/>
        <v>0</v>
      </c>
      <c r="H64" s="453">
        <f t="shared" si="12"/>
        <v>0</v>
      </c>
      <c r="I64" s="473">
        <f t="shared" si="3"/>
        <v>0</v>
      </c>
      <c r="J64" s="473"/>
      <c r="K64" s="485"/>
      <c r="L64" s="476">
        <f t="shared" si="13"/>
        <v>0</v>
      </c>
      <c r="M64" s="485"/>
      <c r="N64" s="476">
        <f t="shared" si="1"/>
        <v>0</v>
      </c>
      <c r="O64" s="476">
        <f t="shared" si="2"/>
        <v>0</v>
      </c>
      <c r="P64" s="241"/>
    </row>
    <row r="65" spans="2:16">
      <c r="B65" s="160" t="str">
        <f t="shared" si="5"/>
        <v/>
      </c>
      <c r="C65" s="470">
        <f>IF(D11="","-",+C64+1)</f>
        <v>2068</v>
      </c>
      <c r="D65" s="481">
        <f>IF(F64+SUM(E$17:E64)=D$10,F64,D$10-SUM(E$17:E64))</f>
        <v>0</v>
      </c>
      <c r="E65" s="482">
        <f t="shared" si="9"/>
        <v>0</v>
      </c>
      <c r="F65" s="483">
        <f t="shared" si="10"/>
        <v>0</v>
      </c>
      <c r="G65" s="484">
        <f t="shared" si="11"/>
        <v>0</v>
      </c>
      <c r="H65" s="453">
        <f t="shared" si="12"/>
        <v>0</v>
      </c>
      <c r="I65" s="473">
        <f t="shared" si="3"/>
        <v>0</v>
      </c>
      <c r="J65" s="473"/>
      <c r="K65" s="485"/>
      <c r="L65" s="476">
        <f t="shared" si="13"/>
        <v>0</v>
      </c>
      <c r="M65" s="485"/>
      <c r="N65" s="476">
        <f t="shared" si="1"/>
        <v>0</v>
      </c>
      <c r="O65" s="476">
        <f t="shared" si="2"/>
        <v>0</v>
      </c>
      <c r="P65" s="241"/>
    </row>
    <row r="66" spans="2:16">
      <c r="B66" s="160" t="str">
        <f t="shared" si="5"/>
        <v/>
      </c>
      <c r="C66" s="470">
        <f>IF(D11="","-",+C65+1)</f>
        <v>2069</v>
      </c>
      <c r="D66" s="481">
        <f>IF(F65+SUM(E$17:E65)=D$10,F65,D$10-SUM(E$17:E65))</f>
        <v>0</v>
      </c>
      <c r="E66" s="482">
        <f t="shared" si="9"/>
        <v>0</v>
      </c>
      <c r="F66" s="483">
        <f t="shared" si="10"/>
        <v>0</v>
      </c>
      <c r="G66" s="484">
        <f t="shared" si="11"/>
        <v>0</v>
      </c>
      <c r="H66" s="453">
        <f t="shared" si="12"/>
        <v>0</v>
      </c>
      <c r="I66" s="473">
        <f t="shared" si="3"/>
        <v>0</v>
      </c>
      <c r="J66" s="473"/>
      <c r="K66" s="485"/>
      <c r="L66" s="476">
        <f t="shared" si="13"/>
        <v>0</v>
      </c>
      <c r="M66" s="485"/>
      <c r="N66" s="476">
        <f t="shared" si="1"/>
        <v>0</v>
      </c>
      <c r="O66" s="476">
        <f t="shared" si="2"/>
        <v>0</v>
      </c>
      <c r="P66" s="241"/>
    </row>
    <row r="67" spans="2:16">
      <c r="B67" s="160" t="str">
        <f t="shared" si="5"/>
        <v/>
      </c>
      <c r="C67" s="470">
        <f>IF(D11="","-",+C66+1)</f>
        <v>2070</v>
      </c>
      <c r="D67" s="481">
        <f>IF(F66+SUM(E$17:E66)=D$10,F66,D$10-SUM(E$17:E66))</f>
        <v>0</v>
      </c>
      <c r="E67" s="482">
        <f t="shared" si="9"/>
        <v>0</v>
      </c>
      <c r="F67" s="483">
        <f t="shared" si="10"/>
        <v>0</v>
      </c>
      <c r="G67" s="484">
        <f t="shared" si="11"/>
        <v>0</v>
      </c>
      <c r="H67" s="453">
        <f t="shared" si="12"/>
        <v>0</v>
      </c>
      <c r="I67" s="473">
        <f t="shared" si="3"/>
        <v>0</v>
      </c>
      <c r="J67" s="473"/>
      <c r="K67" s="485"/>
      <c r="L67" s="476">
        <f t="shared" si="13"/>
        <v>0</v>
      </c>
      <c r="M67" s="485"/>
      <c r="N67" s="476">
        <f t="shared" si="1"/>
        <v>0</v>
      </c>
      <c r="O67" s="476">
        <f t="shared" si="2"/>
        <v>0</v>
      </c>
      <c r="P67" s="241"/>
    </row>
    <row r="68" spans="2:16">
      <c r="B68" s="160" t="str">
        <f t="shared" si="5"/>
        <v/>
      </c>
      <c r="C68" s="470">
        <f>IF(D11="","-",+C67+1)</f>
        <v>2071</v>
      </c>
      <c r="D68" s="481">
        <f>IF(F67+SUM(E$17:E67)=D$10,F67,D$10-SUM(E$17:E67))</f>
        <v>0</v>
      </c>
      <c r="E68" s="482">
        <f t="shared" si="9"/>
        <v>0</v>
      </c>
      <c r="F68" s="483">
        <f t="shared" si="10"/>
        <v>0</v>
      </c>
      <c r="G68" s="484">
        <f t="shared" si="11"/>
        <v>0</v>
      </c>
      <c r="H68" s="453">
        <f t="shared" si="12"/>
        <v>0</v>
      </c>
      <c r="I68" s="473">
        <f t="shared" si="3"/>
        <v>0</v>
      </c>
      <c r="J68" s="473"/>
      <c r="K68" s="485"/>
      <c r="L68" s="476">
        <f t="shared" si="13"/>
        <v>0</v>
      </c>
      <c r="M68" s="485"/>
      <c r="N68" s="476">
        <f t="shared" si="1"/>
        <v>0</v>
      </c>
      <c r="O68" s="476">
        <f t="shared" si="2"/>
        <v>0</v>
      </c>
      <c r="P68" s="241"/>
    </row>
    <row r="69" spans="2:16">
      <c r="B69" s="160" t="str">
        <f t="shared" si="5"/>
        <v/>
      </c>
      <c r="C69" s="470">
        <f>IF(D11="","-",+C68+1)</f>
        <v>2072</v>
      </c>
      <c r="D69" s="481">
        <f>IF(F68+SUM(E$17:E68)=D$10,F68,D$10-SUM(E$17:E68))</f>
        <v>0</v>
      </c>
      <c r="E69" s="482">
        <f t="shared" si="9"/>
        <v>0</v>
      </c>
      <c r="F69" s="483">
        <f t="shared" si="10"/>
        <v>0</v>
      </c>
      <c r="G69" s="484">
        <f t="shared" si="11"/>
        <v>0</v>
      </c>
      <c r="H69" s="453">
        <f t="shared" si="12"/>
        <v>0</v>
      </c>
      <c r="I69" s="473">
        <f t="shared" si="3"/>
        <v>0</v>
      </c>
      <c r="J69" s="473"/>
      <c r="K69" s="485"/>
      <c r="L69" s="476">
        <f t="shared" si="13"/>
        <v>0</v>
      </c>
      <c r="M69" s="485"/>
      <c r="N69" s="476">
        <f t="shared" si="1"/>
        <v>0</v>
      </c>
      <c r="O69" s="476">
        <f t="shared" si="2"/>
        <v>0</v>
      </c>
      <c r="P69" s="241"/>
    </row>
    <row r="70" spans="2:16">
      <c r="B70" s="160" t="str">
        <f t="shared" si="5"/>
        <v/>
      </c>
      <c r="C70" s="470">
        <f>IF(D11="","-",+C69+1)</f>
        <v>2073</v>
      </c>
      <c r="D70" s="481">
        <f>IF(F69+SUM(E$17:E69)=D$10,F69,D$10-SUM(E$17:E69))</f>
        <v>0</v>
      </c>
      <c r="E70" s="482">
        <f t="shared" si="9"/>
        <v>0</v>
      </c>
      <c r="F70" s="483">
        <f t="shared" si="10"/>
        <v>0</v>
      </c>
      <c r="G70" s="484">
        <f t="shared" si="11"/>
        <v>0</v>
      </c>
      <c r="H70" s="453">
        <f t="shared" si="12"/>
        <v>0</v>
      </c>
      <c r="I70" s="473">
        <f t="shared" si="3"/>
        <v>0</v>
      </c>
      <c r="J70" s="473"/>
      <c r="K70" s="485"/>
      <c r="L70" s="476">
        <f t="shared" si="13"/>
        <v>0</v>
      </c>
      <c r="M70" s="485"/>
      <c r="N70" s="476">
        <f t="shared" si="1"/>
        <v>0</v>
      </c>
      <c r="O70" s="476">
        <f t="shared" si="2"/>
        <v>0</v>
      </c>
      <c r="P70" s="241"/>
    </row>
    <row r="71" spans="2:16">
      <c r="B71" s="160" t="str">
        <f t="shared" si="5"/>
        <v/>
      </c>
      <c r="C71" s="470">
        <f>IF(D11="","-",+C70+1)</f>
        <v>2074</v>
      </c>
      <c r="D71" s="481">
        <f>IF(F70+SUM(E$17:E70)=D$10,F70,D$10-SUM(E$17:E70))</f>
        <v>0</v>
      </c>
      <c r="E71" s="482">
        <f t="shared" si="9"/>
        <v>0</v>
      </c>
      <c r="F71" s="483">
        <f t="shared" si="10"/>
        <v>0</v>
      </c>
      <c r="G71" s="484">
        <f t="shared" si="11"/>
        <v>0</v>
      </c>
      <c r="H71" s="453">
        <f t="shared" si="12"/>
        <v>0</v>
      </c>
      <c r="I71" s="473">
        <f t="shared" si="3"/>
        <v>0</v>
      </c>
      <c r="J71" s="473"/>
      <c r="K71" s="485"/>
      <c r="L71" s="476">
        <f t="shared" si="13"/>
        <v>0</v>
      </c>
      <c r="M71" s="485"/>
      <c r="N71" s="476">
        <f t="shared" si="1"/>
        <v>0</v>
      </c>
      <c r="O71" s="476">
        <f t="shared" si="2"/>
        <v>0</v>
      </c>
      <c r="P71" s="241"/>
    </row>
    <row r="72" spans="2:16" ht="13.5" thickBot="1">
      <c r="B72" s="160" t="str">
        <f t="shared" si="5"/>
        <v/>
      </c>
      <c r="C72" s="487">
        <f>IF(D11="","-",+C71+1)</f>
        <v>2075</v>
      </c>
      <c r="D72" s="610">
        <f>IF(F71+SUM(E$17:E71)=D$10,F71,D$10-SUM(E$17:E71))</f>
        <v>0</v>
      </c>
      <c r="E72" s="489">
        <f>IF(+I$14&lt;F71,I$14,D72)</f>
        <v>0</v>
      </c>
      <c r="F72" s="488">
        <f>+D72-E72</f>
        <v>0</v>
      </c>
      <c r="G72" s="542">
        <f>(D72+F72)/2*I$12+E72</f>
        <v>0</v>
      </c>
      <c r="H72" s="433">
        <f>+(D72+F72)/2*I$13+E72</f>
        <v>0</v>
      </c>
      <c r="I72" s="491">
        <f>H72-G72</f>
        <v>0</v>
      </c>
      <c r="J72" s="473"/>
      <c r="K72" s="492"/>
      <c r="L72" s="493">
        <f t="shared" si="13"/>
        <v>0</v>
      </c>
      <c r="M72" s="492"/>
      <c r="N72" s="493">
        <f t="shared" si="1"/>
        <v>0</v>
      </c>
      <c r="O72" s="493">
        <f t="shared" si="2"/>
        <v>0</v>
      </c>
      <c r="P72" s="241"/>
    </row>
    <row r="73" spans="2:16">
      <c r="C73" s="345" t="s">
        <v>77</v>
      </c>
      <c r="D73" s="346"/>
      <c r="E73" s="346">
        <f>SUM(E17:E72)</f>
        <v>2394794.0000000005</v>
      </c>
      <c r="F73" s="346"/>
      <c r="G73" s="346">
        <f>SUM(G17:G72)</f>
        <v>7624747.9938901719</v>
      </c>
      <c r="H73" s="346">
        <f>SUM(H17:H72)</f>
        <v>7624747.9938901719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28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322643.1060760754</v>
      </c>
      <c r="N87" s="506">
        <f>IF(J92&lt;D11,0,VLOOKUP(J92,C17:O72,11))</f>
        <v>322643.1060760754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315068.77055082901</v>
      </c>
      <c r="N88" s="510">
        <f>IF(J92&lt;D11,0,VLOOKUP(J92,C99:P154,7))</f>
        <v>315068.77055082901</v>
      </c>
      <c r="O88" s="511">
        <f>+N88-M88</f>
        <v>0</v>
      </c>
      <c r="P88" s="231"/>
    </row>
    <row r="89" spans="1:16" ht="13.5" thickBot="1">
      <c r="C89" s="429" t="s">
        <v>92</v>
      </c>
      <c r="D89" s="517" t="str">
        <f>D7</f>
        <v>Keystone Dam - Wekiwa 138 kV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-7574.3355252463953</v>
      </c>
      <c r="N89" s="515">
        <f>+N88-N87</f>
        <v>-7574.3355252463953</v>
      </c>
      <c r="O89" s="516">
        <f>+O88-O87</f>
        <v>0</v>
      </c>
      <c r="P89" s="231"/>
    </row>
    <row r="90" spans="1:16" ht="13.5" thickBot="1">
      <c r="C90" s="494"/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TP2015118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524">
        <v>2537089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v>2020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v>6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61880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3.5" thickBot="1">
      <c r="C99" s="470">
        <f>IF(D93= "","-",D93)</f>
        <v>2020</v>
      </c>
      <c r="D99" s="582">
        <v>0</v>
      </c>
      <c r="E99" s="606">
        <v>0</v>
      </c>
      <c r="F99" s="582">
        <v>2529408</v>
      </c>
      <c r="G99" s="606">
        <v>1264704</v>
      </c>
      <c r="H99" s="585">
        <v>145816.89418304947</v>
      </c>
      <c r="I99" s="605">
        <v>145816.89418304947</v>
      </c>
      <c r="J99" s="476">
        <f>+I99-H99</f>
        <v>0</v>
      </c>
      <c r="K99" s="476"/>
      <c r="L99" s="475">
        <f>+H99</f>
        <v>145816.89418304947</v>
      </c>
      <c r="M99" s="475">
        <f t="shared" ref="M99" si="14">IF(L99&lt;&gt;0,+H99-L99,0)</f>
        <v>0</v>
      </c>
      <c r="N99" s="475">
        <f>+I99</f>
        <v>145816.89418304947</v>
      </c>
      <c r="O99" s="475">
        <f t="shared" ref="O99:O130" si="15">IF(N99&lt;&gt;0,+I99-N99,0)</f>
        <v>0</v>
      </c>
      <c r="P99" s="475">
        <f t="shared" ref="P99:P130" si="16">+O99-M99</f>
        <v>0</v>
      </c>
    </row>
    <row r="100" spans="1:16">
      <c r="B100" s="160" t="str">
        <f>IF(D100=F99,"","IU")</f>
        <v>IU</v>
      </c>
      <c r="C100" s="470">
        <f>IF(D93="","-",+C99+1)</f>
        <v>2021</v>
      </c>
      <c r="D100" s="582">
        <v>2537089</v>
      </c>
      <c r="E100" s="606">
        <v>61880</v>
      </c>
      <c r="F100" s="582">
        <v>2475209</v>
      </c>
      <c r="G100" s="606">
        <v>2506149</v>
      </c>
      <c r="H100" s="585">
        <v>347061.69446301</v>
      </c>
      <c r="I100" s="605">
        <v>347061.69446301</v>
      </c>
      <c r="J100" s="476">
        <f t="shared" ref="J100:J130" si="17">+I100-H100</f>
        <v>0</v>
      </c>
      <c r="K100" s="476"/>
      <c r="L100" s="475">
        <f>+H100</f>
        <v>347061.69446301</v>
      </c>
      <c r="M100" s="475">
        <f t="shared" ref="M100" si="18">IF(L100&lt;&gt;0,+H100-L100,0)</f>
        <v>0</v>
      </c>
      <c r="N100" s="475">
        <f>+I100</f>
        <v>347061.69446301</v>
      </c>
      <c r="O100" s="475">
        <f t="shared" ref="O100" si="19">IF(N100&lt;&gt;0,+I100-N100,0)</f>
        <v>0</v>
      </c>
      <c r="P100" s="475">
        <f t="shared" ref="P100" si="20">+O100-M100</f>
        <v>0</v>
      </c>
    </row>
    <row r="101" spans="1:16">
      <c r="B101" s="160" t="str">
        <f t="shared" ref="B101:B154" si="21">IF(D101=F100,"","IU")</f>
        <v>IU</v>
      </c>
      <c r="C101" s="631">
        <f>IF(D93="","-",+C100+1)</f>
        <v>2022</v>
      </c>
      <c r="D101" s="345">
        <v>2332914</v>
      </c>
      <c r="E101" s="482">
        <v>61405</v>
      </c>
      <c r="F101" s="483">
        <v>2271509</v>
      </c>
      <c r="G101" s="483">
        <v>2302211.5</v>
      </c>
      <c r="H101" s="611">
        <v>315068.77055082901</v>
      </c>
      <c r="I101" s="612">
        <v>315068.77055082901</v>
      </c>
      <c r="J101" s="476">
        <f t="shared" si="17"/>
        <v>0</v>
      </c>
      <c r="K101" s="476"/>
      <c r="L101" s="485"/>
      <c r="M101" s="476">
        <f t="shared" ref="M101:M130" si="22">IF(L101&lt;&gt;0,+H101-L101,0)</f>
        <v>0</v>
      </c>
      <c r="N101" s="485"/>
      <c r="O101" s="476">
        <f t="shared" si="15"/>
        <v>0</v>
      </c>
      <c r="P101" s="476">
        <f t="shared" si="16"/>
        <v>0</v>
      </c>
    </row>
    <row r="102" spans="1:16">
      <c r="B102" s="160" t="str">
        <f t="shared" si="21"/>
        <v>IU</v>
      </c>
      <c r="C102" s="470">
        <f>IF(D93="","-",+C101+1)</f>
        <v>2023</v>
      </c>
      <c r="D102" s="345">
        <f>IF(F101+SUM(E$99:E101)=D$92,F101,D$92-SUM(E$99:E101))</f>
        <v>2413804</v>
      </c>
      <c r="E102" s="482">
        <f t="shared" ref="E102:E154" si="23">IF(+J$96&lt;F101,J$96,D102)</f>
        <v>61880</v>
      </c>
      <c r="F102" s="483">
        <f t="shared" ref="F102:F154" si="24">+D102-E102</f>
        <v>2351924</v>
      </c>
      <c r="G102" s="483">
        <f t="shared" ref="G102:G154" si="25">+(F102+D102)/2</f>
        <v>2382864</v>
      </c>
      <c r="H102" s="611">
        <f t="shared" ref="H102:H154" si="26">+J$94*G102+E102</f>
        <v>333032.749974126</v>
      </c>
      <c r="I102" s="612">
        <f t="shared" ref="I102:I154" si="27">+J$95*G102+E102</f>
        <v>333032.749974126</v>
      </c>
      <c r="J102" s="476">
        <f t="shared" si="17"/>
        <v>0</v>
      </c>
      <c r="K102" s="476"/>
      <c r="L102" s="485"/>
      <c r="M102" s="476">
        <f t="shared" si="22"/>
        <v>0</v>
      </c>
      <c r="N102" s="485"/>
      <c r="O102" s="476">
        <f t="shared" si="15"/>
        <v>0</v>
      </c>
      <c r="P102" s="476">
        <f t="shared" si="16"/>
        <v>0</v>
      </c>
    </row>
    <row r="103" spans="1:16">
      <c r="B103" s="160" t="str">
        <f t="shared" si="21"/>
        <v/>
      </c>
      <c r="C103" s="470">
        <f>IF(D93="","-",+C102+1)</f>
        <v>2024</v>
      </c>
      <c r="D103" s="345">
        <f>IF(F102+SUM(E$99:E102)=D$92,F102,D$92-SUM(E$99:E102))</f>
        <v>2351924</v>
      </c>
      <c r="E103" s="482">
        <f t="shared" si="23"/>
        <v>61880</v>
      </c>
      <c r="F103" s="483">
        <f t="shared" si="24"/>
        <v>2290044</v>
      </c>
      <c r="G103" s="483">
        <f t="shared" si="25"/>
        <v>2320984</v>
      </c>
      <c r="H103" s="611">
        <f t="shared" si="26"/>
        <v>325991.251941339</v>
      </c>
      <c r="I103" s="612">
        <f t="shared" si="27"/>
        <v>325991.251941339</v>
      </c>
      <c r="J103" s="476">
        <f t="shared" si="17"/>
        <v>0</v>
      </c>
      <c r="K103" s="476"/>
      <c r="L103" s="485"/>
      <c r="M103" s="476">
        <f t="shared" si="22"/>
        <v>0</v>
      </c>
      <c r="N103" s="485"/>
      <c r="O103" s="476">
        <f t="shared" si="15"/>
        <v>0</v>
      </c>
      <c r="P103" s="476">
        <f t="shared" si="16"/>
        <v>0</v>
      </c>
    </row>
    <row r="104" spans="1:16">
      <c r="B104" s="160" t="str">
        <f t="shared" si="21"/>
        <v/>
      </c>
      <c r="C104" s="470">
        <f>IF(D93="","-",+C103+1)</f>
        <v>2025</v>
      </c>
      <c r="D104" s="345">
        <f>IF(F103+SUM(E$99:E103)=D$92,F103,D$92-SUM(E$99:E103))</f>
        <v>2290044</v>
      </c>
      <c r="E104" s="482">
        <f t="shared" si="23"/>
        <v>61880</v>
      </c>
      <c r="F104" s="483">
        <f t="shared" si="24"/>
        <v>2228164</v>
      </c>
      <c r="G104" s="483">
        <f t="shared" si="25"/>
        <v>2259104</v>
      </c>
      <c r="H104" s="611">
        <f t="shared" si="26"/>
        <v>318949.753908552</v>
      </c>
      <c r="I104" s="612">
        <f t="shared" si="27"/>
        <v>318949.753908552</v>
      </c>
      <c r="J104" s="476">
        <f t="shared" si="17"/>
        <v>0</v>
      </c>
      <c r="K104" s="476"/>
      <c r="L104" s="485"/>
      <c r="M104" s="476">
        <f t="shared" si="22"/>
        <v>0</v>
      </c>
      <c r="N104" s="485"/>
      <c r="O104" s="476">
        <f t="shared" si="15"/>
        <v>0</v>
      </c>
      <c r="P104" s="476">
        <f t="shared" si="16"/>
        <v>0</v>
      </c>
    </row>
    <row r="105" spans="1:16">
      <c r="B105" s="160" t="str">
        <f t="shared" si="21"/>
        <v/>
      </c>
      <c r="C105" s="470">
        <f>IF(D93="","-",+C104+1)</f>
        <v>2026</v>
      </c>
      <c r="D105" s="345">
        <f>IF(F104+SUM(E$99:E104)=D$92,F104,D$92-SUM(E$99:E104))</f>
        <v>2228164</v>
      </c>
      <c r="E105" s="482">
        <f t="shared" si="23"/>
        <v>61880</v>
      </c>
      <c r="F105" s="483">
        <f t="shared" si="24"/>
        <v>2166284</v>
      </c>
      <c r="G105" s="483">
        <f t="shared" si="25"/>
        <v>2197224</v>
      </c>
      <c r="H105" s="611">
        <f t="shared" si="26"/>
        <v>311908.255875765</v>
      </c>
      <c r="I105" s="612">
        <f t="shared" si="27"/>
        <v>311908.255875765</v>
      </c>
      <c r="J105" s="476">
        <f t="shared" si="17"/>
        <v>0</v>
      </c>
      <c r="K105" s="476"/>
      <c r="L105" s="485"/>
      <c r="M105" s="476">
        <f t="shared" si="22"/>
        <v>0</v>
      </c>
      <c r="N105" s="485"/>
      <c r="O105" s="476">
        <f t="shared" si="15"/>
        <v>0</v>
      </c>
      <c r="P105" s="476">
        <f t="shared" si="16"/>
        <v>0</v>
      </c>
    </row>
    <row r="106" spans="1:16">
      <c r="B106" s="160" t="str">
        <f t="shared" si="21"/>
        <v/>
      </c>
      <c r="C106" s="470">
        <f>IF(D93="","-",+C105+1)</f>
        <v>2027</v>
      </c>
      <c r="D106" s="345">
        <f>IF(F105+SUM(E$99:E105)=D$92,F105,D$92-SUM(E$99:E105))</f>
        <v>2166284</v>
      </c>
      <c r="E106" s="482">
        <f t="shared" si="23"/>
        <v>61880</v>
      </c>
      <c r="F106" s="483">
        <f t="shared" si="24"/>
        <v>2104404</v>
      </c>
      <c r="G106" s="483">
        <f t="shared" si="25"/>
        <v>2135344</v>
      </c>
      <c r="H106" s="611">
        <f t="shared" si="26"/>
        <v>304866.75784297806</v>
      </c>
      <c r="I106" s="612">
        <f t="shared" si="27"/>
        <v>304866.75784297806</v>
      </c>
      <c r="J106" s="476">
        <f t="shared" si="17"/>
        <v>0</v>
      </c>
      <c r="K106" s="476"/>
      <c r="L106" s="485"/>
      <c r="M106" s="476">
        <f t="shared" si="22"/>
        <v>0</v>
      </c>
      <c r="N106" s="485"/>
      <c r="O106" s="476">
        <f t="shared" si="15"/>
        <v>0</v>
      </c>
      <c r="P106" s="476">
        <f t="shared" si="16"/>
        <v>0</v>
      </c>
    </row>
    <row r="107" spans="1:16">
      <c r="B107" s="160" t="str">
        <f t="shared" si="21"/>
        <v/>
      </c>
      <c r="C107" s="470">
        <f>IF(D93="","-",+C106+1)</f>
        <v>2028</v>
      </c>
      <c r="D107" s="345">
        <f>IF(F106+SUM(E$99:E106)=D$92,F106,D$92-SUM(E$99:E106))</f>
        <v>2104404</v>
      </c>
      <c r="E107" s="482">
        <f t="shared" si="23"/>
        <v>61880</v>
      </c>
      <c r="F107" s="483">
        <f t="shared" si="24"/>
        <v>2042524</v>
      </c>
      <c r="G107" s="483">
        <f t="shared" si="25"/>
        <v>2073464</v>
      </c>
      <c r="H107" s="611">
        <f t="shared" si="26"/>
        <v>297825.25981019111</v>
      </c>
      <c r="I107" s="612">
        <f t="shared" si="27"/>
        <v>297825.25981019111</v>
      </c>
      <c r="J107" s="476">
        <f t="shared" si="17"/>
        <v>0</v>
      </c>
      <c r="K107" s="476"/>
      <c r="L107" s="485"/>
      <c r="M107" s="476">
        <f t="shared" si="22"/>
        <v>0</v>
      </c>
      <c r="N107" s="485"/>
      <c r="O107" s="476">
        <f t="shared" si="15"/>
        <v>0</v>
      </c>
      <c r="P107" s="476">
        <f t="shared" si="16"/>
        <v>0</v>
      </c>
    </row>
    <row r="108" spans="1:16">
      <c r="B108" s="160" t="str">
        <f t="shared" si="21"/>
        <v/>
      </c>
      <c r="C108" s="470">
        <f>IF(D93="","-",+C107+1)</f>
        <v>2029</v>
      </c>
      <c r="D108" s="345">
        <f>IF(F107+SUM(E$99:E107)=D$92,F107,D$92-SUM(E$99:E107))</f>
        <v>2042524</v>
      </c>
      <c r="E108" s="482">
        <f t="shared" si="23"/>
        <v>61880</v>
      </c>
      <c r="F108" s="483">
        <f t="shared" si="24"/>
        <v>1980644</v>
      </c>
      <c r="G108" s="483">
        <f t="shared" si="25"/>
        <v>2011584</v>
      </c>
      <c r="H108" s="611">
        <f t="shared" si="26"/>
        <v>290783.76177740411</v>
      </c>
      <c r="I108" s="612">
        <f t="shared" si="27"/>
        <v>290783.76177740411</v>
      </c>
      <c r="J108" s="476">
        <f t="shared" si="17"/>
        <v>0</v>
      </c>
      <c r="K108" s="476"/>
      <c r="L108" s="485"/>
      <c r="M108" s="476">
        <f t="shared" si="22"/>
        <v>0</v>
      </c>
      <c r="N108" s="485"/>
      <c r="O108" s="476">
        <f t="shared" si="15"/>
        <v>0</v>
      </c>
      <c r="P108" s="476">
        <f t="shared" si="16"/>
        <v>0</v>
      </c>
    </row>
    <row r="109" spans="1:16">
      <c r="B109" s="160" t="str">
        <f t="shared" si="21"/>
        <v/>
      </c>
      <c r="C109" s="470">
        <f>IF(D93="","-",+C108+1)</f>
        <v>2030</v>
      </c>
      <c r="D109" s="345">
        <f>IF(F108+SUM(E$99:E108)=D$92,F108,D$92-SUM(E$99:E108))</f>
        <v>1980644</v>
      </c>
      <c r="E109" s="482">
        <f t="shared" si="23"/>
        <v>61880</v>
      </c>
      <c r="F109" s="483">
        <f t="shared" si="24"/>
        <v>1918764</v>
      </c>
      <c r="G109" s="483">
        <f t="shared" si="25"/>
        <v>1949704</v>
      </c>
      <c r="H109" s="611">
        <f t="shared" si="26"/>
        <v>283742.26374461711</v>
      </c>
      <c r="I109" s="612">
        <f t="shared" si="27"/>
        <v>283742.26374461711</v>
      </c>
      <c r="J109" s="476">
        <f t="shared" si="17"/>
        <v>0</v>
      </c>
      <c r="K109" s="476"/>
      <c r="L109" s="485"/>
      <c r="M109" s="476">
        <f t="shared" si="22"/>
        <v>0</v>
      </c>
      <c r="N109" s="485"/>
      <c r="O109" s="476">
        <f t="shared" si="15"/>
        <v>0</v>
      </c>
      <c r="P109" s="476">
        <f t="shared" si="16"/>
        <v>0</v>
      </c>
    </row>
    <row r="110" spans="1:16">
      <c r="B110" s="160" t="str">
        <f t="shared" si="21"/>
        <v/>
      </c>
      <c r="C110" s="470">
        <f>IF(D93="","-",+C109+1)</f>
        <v>2031</v>
      </c>
      <c r="D110" s="345">
        <f>IF(F109+SUM(E$99:E109)=D$92,F109,D$92-SUM(E$99:E109))</f>
        <v>1918764</v>
      </c>
      <c r="E110" s="482">
        <f t="shared" si="23"/>
        <v>61880</v>
      </c>
      <c r="F110" s="483">
        <f t="shared" si="24"/>
        <v>1856884</v>
      </c>
      <c r="G110" s="483">
        <f t="shared" si="25"/>
        <v>1887824</v>
      </c>
      <c r="H110" s="611">
        <f t="shared" si="26"/>
        <v>276700.76571183011</v>
      </c>
      <c r="I110" s="612">
        <f t="shared" si="27"/>
        <v>276700.76571183011</v>
      </c>
      <c r="J110" s="476">
        <f t="shared" si="17"/>
        <v>0</v>
      </c>
      <c r="K110" s="476"/>
      <c r="L110" s="485"/>
      <c r="M110" s="476">
        <f t="shared" si="22"/>
        <v>0</v>
      </c>
      <c r="N110" s="485"/>
      <c r="O110" s="476">
        <f t="shared" si="15"/>
        <v>0</v>
      </c>
      <c r="P110" s="476">
        <f t="shared" si="16"/>
        <v>0</v>
      </c>
    </row>
    <row r="111" spans="1:16">
      <c r="B111" s="160" t="str">
        <f t="shared" si="21"/>
        <v/>
      </c>
      <c r="C111" s="470">
        <f>IF(D93="","-",+C110+1)</f>
        <v>2032</v>
      </c>
      <c r="D111" s="345">
        <f>IF(F110+SUM(E$99:E110)=D$92,F110,D$92-SUM(E$99:E110))</f>
        <v>1856884</v>
      </c>
      <c r="E111" s="482">
        <f t="shared" si="23"/>
        <v>61880</v>
      </c>
      <c r="F111" s="483">
        <f t="shared" si="24"/>
        <v>1795004</v>
      </c>
      <c r="G111" s="483">
        <f t="shared" si="25"/>
        <v>1825944</v>
      </c>
      <c r="H111" s="611">
        <f t="shared" si="26"/>
        <v>269659.26767904311</v>
      </c>
      <c r="I111" s="612">
        <f t="shared" si="27"/>
        <v>269659.26767904311</v>
      </c>
      <c r="J111" s="476">
        <f t="shared" si="17"/>
        <v>0</v>
      </c>
      <c r="K111" s="476"/>
      <c r="L111" s="485"/>
      <c r="M111" s="476">
        <f t="shared" si="22"/>
        <v>0</v>
      </c>
      <c r="N111" s="485"/>
      <c r="O111" s="476">
        <f t="shared" si="15"/>
        <v>0</v>
      </c>
      <c r="P111" s="476">
        <f t="shared" si="16"/>
        <v>0</v>
      </c>
    </row>
    <row r="112" spans="1:16">
      <c r="B112" s="160" t="str">
        <f t="shared" si="21"/>
        <v/>
      </c>
      <c r="C112" s="470">
        <f>IF(D93="","-",+C111+1)</f>
        <v>2033</v>
      </c>
      <c r="D112" s="345">
        <f>IF(F111+SUM(E$99:E111)=D$92,F111,D$92-SUM(E$99:E111))</f>
        <v>1795004</v>
      </c>
      <c r="E112" s="482">
        <f t="shared" si="23"/>
        <v>61880</v>
      </c>
      <c r="F112" s="483">
        <f t="shared" si="24"/>
        <v>1733124</v>
      </c>
      <c r="G112" s="483">
        <f t="shared" si="25"/>
        <v>1764064</v>
      </c>
      <c r="H112" s="611">
        <f t="shared" si="26"/>
        <v>262617.76964625617</v>
      </c>
      <c r="I112" s="612">
        <f t="shared" si="27"/>
        <v>262617.76964625617</v>
      </c>
      <c r="J112" s="476">
        <f t="shared" si="17"/>
        <v>0</v>
      </c>
      <c r="K112" s="476"/>
      <c r="L112" s="485"/>
      <c r="M112" s="476">
        <f t="shared" si="22"/>
        <v>0</v>
      </c>
      <c r="N112" s="485"/>
      <c r="O112" s="476">
        <f t="shared" si="15"/>
        <v>0</v>
      </c>
      <c r="P112" s="476">
        <f t="shared" si="16"/>
        <v>0</v>
      </c>
    </row>
    <row r="113" spans="2:16">
      <c r="B113" s="160" t="str">
        <f t="shared" si="21"/>
        <v/>
      </c>
      <c r="C113" s="470">
        <f>IF(D93="","-",+C112+1)</f>
        <v>2034</v>
      </c>
      <c r="D113" s="345">
        <f>IF(F112+SUM(E$99:E112)=D$92,F112,D$92-SUM(E$99:E112))</f>
        <v>1733124</v>
      </c>
      <c r="E113" s="482">
        <f t="shared" si="23"/>
        <v>61880</v>
      </c>
      <c r="F113" s="483">
        <f t="shared" si="24"/>
        <v>1671244</v>
      </c>
      <c r="G113" s="483">
        <f t="shared" si="25"/>
        <v>1702184</v>
      </c>
      <c r="H113" s="611">
        <f t="shared" si="26"/>
        <v>255576.2716134692</v>
      </c>
      <c r="I113" s="612">
        <f t="shared" si="27"/>
        <v>255576.2716134692</v>
      </c>
      <c r="J113" s="476">
        <f t="shared" si="17"/>
        <v>0</v>
      </c>
      <c r="K113" s="476"/>
      <c r="L113" s="485"/>
      <c r="M113" s="476">
        <f t="shared" si="22"/>
        <v>0</v>
      </c>
      <c r="N113" s="485"/>
      <c r="O113" s="476">
        <f t="shared" si="15"/>
        <v>0</v>
      </c>
      <c r="P113" s="476">
        <f t="shared" si="16"/>
        <v>0</v>
      </c>
    </row>
    <row r="114" spans="2:16">
      <c r="B114" s="160" t="str">
        <f t="shared" si="21"/>
        <v/>
      </c>
      <c r="C114" s="470">
        <f>IF(D93="","-",+C113+1)</f>
        <v>2035</v>
      </c>
      <c r="D114" s="345">
        <f>IF(F113+SUM(E$99:E113)=D$92,F113,D$92-SUM(E$99:E113))</f>
        <v>1671244</v>
      </c>
      <c r="E114" s="482">
        <f t="shared" si="23"/>
        <v>61880</v>
      </c>
      <c r="F114" s="483">
        <f t="shared" si="24"/>
        <v>1609364</v>
      </c>
      <c r="G114" s="483">
        <f t="shared" si="25"/>
        <v>1640304</v>
      </c>
      <c r="H114" s="611">
        <f t="shared" si="26"/>
        <v>248534.7735806822</v>
      </c>
      <c r="I114" s="612">
        <f t="shared" si="27"/>
        <v>248534.7735806822</v>
      </c>
      <c r="J114" s="476">
        <f t="shared" si="17"/>
        <v>0</v>
      </c>
      <c r="K114" s="476"/>
      <c r="L114" s="485"/>
      <c r="M114" s="476">
        <f t="shared" si="22"/>
        <v>0</v>
      </c>
      <c r="N114" s="485"/>
      <c r="O114" s="476">
        <f t="shared" si="15"/>
        <v>0</v>
      </c>
      <c r="P114" s="476">
        <f t="shared" si="16"/>
        <v>0</v>
      </c>
    </row>
    <row r="115" spans="2:16">
      <c r="B115" s="160" t="str">
        <f t="shared" si="21"/>
        <v/>
      </c>
      <c r="C115" s="470">
        <f>IF(D93="","-",+C114+1)</f>
        <v>2036</v>
      </c>
      <c r="D115" s="345">
        <f>IF(F114+SUM(E$99:E114)=D$92,F114,D$92-SUM(E$99:E114))</f>
        <v>1609364</v>
      </c>
      <c r="E115" s="482">
        <f t="shared" si="23"/>
        <v>61880</v>
      </c>
      <c r="F115" s="483">
        <f t="shared" si="24"/>
        <v>1547484</v>
      </c>
      <c r="G115" s="483">
        <f t="shared" si="25"/>
        <v>1578424</v>
      </c>
      <c r="H115" s="611">
        <f t="shared" si="26"/>
        <v>241493.27554789523</v>
      </c>
      <c r="I115" s="612">
        <f t="shared" si="27"/>
        <v>241493.27554789523</v>
      </c>
      <c r="J115" s="476">
        <f t="shared" si="17"/>
        <v>0</v>
      </c>
      <c r="K115" s="476"/>
      <c r="L115" s="485"/>
      <c r="M115" s="476">
        <f t="shared" si="22"/>
        <v>0</v>
      </c>
      <c r="N115" s="485"/>
      <c r="O115" s="476">
        <f t="shared" si="15"/>
        <v>0</v>
      </c>
      <c r="P115" s="476">
        <f t="shared" si="16"/>
        <v>0</v>
      </c>
    </row>
    <row r="116" spans="2:16">
      <c r="B116" s="160" t="str">
        <f t="shared" si="21"/>
        <v/>
      </c>
      <c r="C116" s="470">
        <f>IF(D93="","-",+C115+1)</f>
        <v>2037</v>
      </c>
      <c r="D116" s="345">
        <f>IF(F115+SUM(E$99:E115)=D$92,F115,D$92-SUM(E$99:E115))</f>
        <v>1547484</v>
      </c>
      <c r="E116" s="482">
        <f t="shared" si="23"/>
        <v>61880</v>
      </c>
      <c r="F116" s="483">
        <f t="shared" si="24"/>
        <v>1485604</v>
      </c>
      <c r="G116" s="483">
        <f t="shared" si="25"/>
        <v>1516544</v>
      </c>
      <c r="H116" s="611">
        <f t="shared" si="26"/>
        <v>234451.77751510826</v>
      </c>
      <c r="I116" s="612">
        <f t="shared" si="27"/>
        <v>234451.77751510826</v>
      </c>
      <c r="J116" s="476">
        <f t="shared" si="17"/>
        <v>0</v>
      </c>
      <c r="K116" s="476"/>
      <c r="L116" s="485"/>
      <c r="M116" s="476">
        <f t="shared" si="22"/>
        <v>0</v>
      </c>
      <c r="N116" s="485"/>
      <c r="O116" s="476">
        <f t="shared" si="15"/>
        <v>0</v>
      </c>
      <c r="P116" s="476">
        <f t="shared" si="16"/>
        <v>0</v>
      </c>
    </row>
    <row r="117" spans="2:16">
      <c r="B117" s="160" t="str">
        <f t="shared" si="21"/>
        <v/>
      </c>
      <c r="C117" s="470">
        <f>IF(D93="","-",+C116+1)</f>
        <v>2038</v>
      </c>
      <c r="D117" s="345">
        <f>IF(F116+SUM(E$99:E116)=D$92,F116,D$92-SUM(E$99:E116))</f>
        <v>1485604</v>
      </c>
      <c r="E117" s="482">
        <f t="shared" si="23"/>
        <v>61880</v>
      </c>
      <c r="F117" s="483">
        <f t="shared" si="24"/>
        <v>1423724</v>
      </c>
      <c r="G117" s="483">
        <f t="shared" si="25"/>
        <v>1454664</v>
      </c>
      <c r="H117" s="611">
        <f t="shared" si="26"/>
        <v>227410.27948232126</v>
      </c>
      <c r="I117" s="612">
        <f t="shared" si="27"/>
        <v>227410.27948232126</v>
      </c>
      <c r="J117" s="476">
        <f t="shared" si="17"/>
        <v>0</v>
      </c>
      <c r="K117" s="476"/>
      <c r="L117" s="485"/>
      <c r="M117" s="476">
        <f t="shared" si="22"/>
        <v>0</v>
      </c>
      <c r="N117" s="485"/>
      <c r="O117" s="476">
        <f t="shared" si="15"/>
        <v>0</v>
      </c>
      <c r="P117" s="476">
        <f t="shared" si="16"/>
        <v>0</v>
      </c>
    </row>
    <row r="118" spans="2:16">
      <c r="B118" s="160" t="str">
        <f t="shared" si="21"/>
        <v/>
      </c>
      <c r="C118" s="470">
        <f>IF(D93="","-",+C117+1)</f>
        <v>2039</v>
      </c>
      <c r="D118" s="345">
        <f>IF(F117+SUM(E$99:E117)=D$92,F117,D$92-SUM(E$99:E117))</f>
        <v>1423724</v>
      </c>
      <c r="E118" s="482">
        <f t="shared" si="23"/>
        <v>61880</v>
      </c>
      <c r="F118" s="483">
        <f t="shared" si="24"/>
        <v>1361844</v>
      </c>
      <c r="G118" s="483">
        <f t="shared" si="25"/>
        <v>1392784</v>
      </c>
      <c r="H118" s="611">
        <f t="shared" si="26"/>
        <v>220368.78144953429</v>
      </c>
      <c r="I118" s="612">
        <f t="shared" si="27"/>
        <v>220368.78144953429</v>
      </c>
      <c r="J118" s="476">
        <f t="shared" si="17"/>
        <v>0</v>
      </c>
      <c r="K118" s="476"/>
      <c r="L118" s="485"/>
      <c r="M118" s="476">
        <f t="shared" si="22"/>
        <v>0</v>
      </c>
      <c r="N118" s="485"/>
      <c r="O118" s="476">
        <f t="shared" si="15"/>
        <v>0</v>
      </c>
      <c r="P118" s="476">
        <f t="shared" si="16"/>
        <v>0</v>
      </c>
    </row>
    <row r="119" spans="2:16">
      <c r="B119" s="160" t="str">
        <f t="shared" si="21"/>
        <v/>
      </c>
      <c r="C119" s="470">
        <f>IF(D93="","-",+C118+1)</f>
        <v>2040</v>
      </c>
      <c r="D119" s="345">
        <f>IF(F118+SUM(E$99:E118)=D$92,F118,D$92-SUM(E$99:E118))</f>
        <v>1361844</v>
      </c>
      <c r="E119" s="482">
        <f t="shared" si="23"/>
        <v>61880</v>
      </c>
      <c r="F119" s="483">
        <f t="shared" si="24"/>
        <v>1299964</v>
      </c>
      <c r="G119" s="483">
        <f t="shared" si="25"/>
        <v>1330904</v>
      </c>
      <c r="H119" s="611">
        <f t="shared" si="26"/>
        <v>213327.28341674732</v>
      </c>
      <c r="I119" s="612">
        <f t="shared" si="27"/>
        <v>213327.28341674732</v>
      </c>
      <c r="J119" s="476">
        <f t="shared" si="17"/>
        <v>0</v>
      </c>
      <c r="K119" s="476"/>
      <c r="L119" s="485"/>
      <c r="M119" s="476">
        <f t="shared" si="22"/>
        <v>0</v>
      </c>
      <c r="N119" s="485"/>
      <c r="O119" s="476">
        <f t="shared" si="15"/>
        <v>0</v>
      </c>
      <c r="P119" s="476">
        <f t="shared" si="16"/>
        <v>0</v>
      </c>
    </row>
    <row r="120" spans="2:16">
      <c r="B120" s="160" t="str">
        <f t="shared" si="21"/>
        <v/>
      </c>
      <c r="C120" s="470">
        <f>IF(D93="","-",+C119+1)</f>
        <v>2041</v>
      </c>
      <c r="D120" s="345">
        <f>IF(F119+SUM(E$99:E119)=D$92,F119,D$92-SUM(E$99:E119))</f>
        <v>1299964</v>
      </c>
      <c r="E120" s="482">
        <f t="shared" si="23"/>
        <v>61880</v>
      </c>
      <c r="F120" s="483">
        <f t="shared" si="24"/>
        <v>1238084</v>
      </c>
      <c r="G120" s="483">
        <f t="shared" si="25"/>
        <v>1269024</v>
      </c>
      <c r="H120" s="611">
        <f t="shared" si="26"/>
        <v>206285.78538396032</v>
      </c>
      <c r="I120" s="612">
        <f t="shared" si="27"/>
        <v>206285.78538396032</v>
      </c>
      <c r="J120" s="476">
        <f t="shared" si="17"/>
        <v>0</v>
      </c>
      <c r="K120" s="476"/>
      <c r="L120" s="485"/>
      <c r="M120" s="476">
        <f t="shared" si="22"/>
        <v>0</v>
      </c>
      <c r="N120" s="485"/>
      <c r="O120" s="476">
        <f t="shared" si="15"/>
        <v>0</v>
      </c>
      <c r="P120" s="476">
        <f t="shared" si="16"/>
        <v>0</v>
      </c>
    </row>
    <row r="121" spans="2:16">
      <c r="B121" s="160" t="str">
        <f t="shared" si="21"/>
        <v/>
      </c>
      <c r="C121" s="470">
        <f>IF(D93="","-",+C120+1)</f>
        <v>2042</v>
      </c>
      <c r="D121" s="345">
        <f>IF(F120+SUM(E$99:E120)=D$92,F120,D$92-SUM(E$99:E120))</f>
        <v>1238084</v>
      </c>
      <c r="E121" s="482">
        <f t="shared" si="23"/>
        <v>61880</v>
      </c>
      <c r="F121" s="483">
        <f t="shared" si="24"/>
        <v>1176204</v>
      </c>
      <c r="G121" s="483">
        <f t="shared" si="25"/>
        <v>1207144</v>
      </c>
      <c r="H121" s="611">
        <f t="shared" si="26"/>
        <v>199244.28735117335</v>
      </c>
      <c r="I121" s="612">
        <f t="shared" si="27"/>
        <v>199244.28735117335</v>
      </c>
      <c r="J121" s="476">
        <f t="shared" si="17"/>
        <v>0</v>
      </c>
      <c r="K121" s="476"/>
      <c r="L121" s="485"/>
      <c r="M121" s="476">
        <f t="shared" si="22"/>
        <v>0</v>
      </c>
      <c r="N121" s="485"/>
      <c r="O121" s="476">
        <f t="shared" si="15"/>
        <v>0</v>
      </c>
      <c r="P121" s="476">
        <f t="shared" si="16"/>
        <v>0</v>
      </c>
    </row>
    <row r="122" spans="2:16">
      <c r="B122" s="160" t="str">
        <f t="shared" si="21"/>
        <v/>
      </c>
      <c r="C122" s="470">
        <f>IF(D93="","-",+C121+1)</f>
        <v>2043</v>
      </c>
      <c r="D122" s="345">
        <f>IF(F121+SUM(E$99:E121)=D$92,F121,D$92-SUM(E$99:E121))</f>
        <v>1176204</v>
      </c>
      <c r="E122" s="482">
        <f t="shared" si="23"/>
        <v>61880</v>
      </c>
      <c r="F122" s="483">
        <f t="shared" si="24"/>
        <v>1114324</v>
      </c>
      <c r="G122" s="483">
        <f t="shared" si="25"/>
        <v>1145264</v>
      </c>
      <c r="H122" s="611">
        <f t="shared" si="26"/>
        <v>192202.78931838635</v>
      </c>
      <c r="I122" s="612">
        <f t="shared" si="27"/>
        <v>192202.78931838635</v>
      </c>
      <c r="J122" s="476">
        <f t="shared" si="17"/>
        <v>0</v>
      </c>
      <c r="K122" s="476"/>
      <c r="L122" s="485"/>
      <c r="M122" s="476">
        <f t="shared" si="22"/>
        <v>0</v>
      </c>
      <c r="N122" s="485"/>
      <c r="O122" s="476">
        <f t="shared" si="15"/>
        <v>0</v>
      </c>
      <c r="P122" s="476">
        <f t="shared" si="16"/>
        <v>0</v>
      </c>
    </row>
    <row r="123" spans="2:16">
      <c r="B123" s="160" t="str">
        <f t="shared" si="21"/>
        <v/>
      </c>
      <c r="C123" s="470">
        <f>IF(D93="","-",+C122+1)</f>
        <v>2044</v>
      </c>
      <c r="D123" s="345">
        <f>IF(F122+SUM(E$99:E122)=D$92,F122,D$92-SUM(E$99:E122))</f>
        <v>1114324</v>
      </c>
      <c r="E123" s="482">
        <f t="shared" si="23"/>
        <v>61880</v>
      </c>
      <c r="F123" s="483">
        <f t="shared" si="24"/>
        <v>1052444</v>
      </c>
      <c r="G123" s="483">
        <f t="shared" si="25"/>
        <v>1083384</v>
      </c>
      <c r="H123" s="611">
        <f t="shared" si="26"/>
        <v>185161.29128559938</v>
      </c>
      <c r="I123" s="612">
        <f t="shared" si="27"/>
        <v>185161.29128559938</v>
      </c>
      <c r="J123" s="476">
        <f t="shared" si="17"/>
        <v>0</v>
      </c>
      <c r="K123" s="476"/>
      <c r="L123" s="485"/>
      <c r="M123" s="476">
        <f t="shared" si="22"/>
        <v>0</v>
      </c>
      <c r="N123" s="485"/>
      <c r="O123" s="476">
        <f t="shared" si="15"/>
        <v>0</v>
      </c>
      <c r="P123" s="476">
        <f t="shared" si="16"/>
        <v>0</v>
      </c>
    </row>
    <row r="124" spans="2:16">
      <c r="B124" s="160" t="str">
        <f t="shared" si="21"/>
        <v/>
      </c>
      <c r="C124" s="470">
        <f>IF(D93="","-",+C123+1)</f>
        <v>2045</v>
      </c>
      <c r="D124" s="345">
        <f>IF(F123+SUM(E$99:E123)=D$92,F123,D$92-SUM(E$99:E123))</f>
        <v>1052444</v>
      </c>
      <c r="E124" s="482">
        <f t="shared" si="23"/>
        <v>61880</v>
      </c>
      <c r="F124" s="483">
        <f t="shared" si="24"/>
        <v>990564</v>
      </c>
      <c r="G124" s="483">
        <f t="shared" si="25"/>
        <v>1021504</v>
      </c>
      <c r="H124" s="611">
        <f t="shared" si="26"/>
        <v>178119.79325281241</v>
      </c>
      <c r="I124" s="612">
        <f t="shared" si="27"/>
        <v>178119.79325281241</v>
      </c>
      <c r="J124" s="476">
        <f t="shared" si="17"/>
        <v>0</v>
      </c>
      <c r="K124" s="476"/>
      <c r="L124" s="485"/>
      <c r="M124" s="476">
        <f t="shared" si="22"/>
        <v>0</v>
      </c>
      <c r="N124" s="485"/>
      <c r="O124" s="476">
        <f t="shared" si="15"/>
        <v>0</v>
      </c>
      <c r="P124" s="476">
        <f t="shared" si="16"/>
        <v>0</v>
      </c>
    </row>
    <row r="125" spans="2:16">
      <c r="B125" s="160" t="str">
        <f t="shared" si="21"/>
        <v/>
      </c>
      <c r="C125" s="470">
        <f>IF(D93="","-",+C124+1)</f>
        <v>2046</v>
      </c>
      <c r="D125" s="345">
        <f>IF(F124+SUM(E$99:E124)=D$92,F124,D$92-SUM(E$99:E124))</f>
        <v>990564</v>
      </c>
      <c r="E125" s="482">
        <f t="shared" si="23"/>
        <v>61880</v>
      </c>
      <c r="F125" s="483">
        <f t="shared" si="24"/>
        <v>928684</v>
      </c>
      <c r="G125" s="483">
        <f t="shared" si="25"/>
        <v>959624</v>
      </c>
      <c r="H125" s="611">
        <f t="shared" si="26"/>
        <v>171078.29522002541</v>
      </c>
      <c r="I125" s="612">
        <f t="shared" si="27"/>
        <v>171078.29522002541</v>
      </c>
      <c r="J125" s="476">
        <f t="shared" si="17"/>
        <v>0</v>
      </c>
      <c r="K125" s="476"/>
      <c r="L125" s="485"/>
      <c r="M125" s="476">
        <f t="shared" si="22"/>
        <v>0</v>
      </c>
      <c r="N125" s="485"/>
      <c r="O125" s="476">
        <f t="shared" si="15"/>
        <v>0</v>
      </c>
      <c r="P125" s="476">
        <f t="shared" si="16"/>
        <v>0</v>
      </c>
    </row>
    <row r="126" spans="2:16">
      <c r="B126" s="160" t="str">
        <f t="shared" si="21"/>
        <v/>
      </c>
      <c r="C126" s="470">
        <f>IF(D93="","-",+C125+1)</f>
        <v>2047</v>
      </c>
      <c r="D126" s="345">
        <f>IF(F125+SUM(E$99:E125)=D$92,F125,D$92-SUM(E$99:E125))</f>
        <v>928684</v>
      </c>
      <c r="E126" s="482">
        <f t="shared" si="23"/>
        <v>61880</v>
      </c>
      <c r="F126" s="483">
        <f t="shared" si="24"/>
        <v>866804</v>
      </c>
      <c r="G126" s="483">
        <f t="shared" si="25"/>
        <v>897744</v>
      </c>
      <c r="H126" s="611">
        <f t="shared" si="26"/>
        <v>164036.79718723844</v>
      </c>
      <c r="I126" s="612">
        <f t="shared" si="27"/>
        <v>164036.79718723844</v>
      </c>
      <c r="J126" s="476">
        <f t="shared" si="17"/>
        <v>0</v>
      </c>
      <c r="K126" s="476"/>
      <c r="L126" s="485"/>
      <c r="M126" s="476">
        <f t="shared" si="22"/>
        <v>0</v>
      </c>
      <c r="N126" s="485"/>
      <c r="O126" s="476">
        <f t="shared" si="15"/>
        <v>0</v>
      </c>
      <c r="P126" s="476">
        <f t="shared" si="16"/>
        <v>0</v>
      </c>
    </row>
    <row r="127" spans="2:16">
      <c r="B127" s="160" t="str">
        <f t="shared" si="21"/>
        <v/>
      </c>
      <c r="C127" s="470">
        <f>IF(D93="","-",+C126+1)</f>
        <v>2048</v>
      </c>
      <c r="D127" s="345">
        <f>IF(F126+SUM(E$99:E126)=D$92,F126,D$92-SUM(E$99:E126))</f>
        <v>866804</v>
      </c>
      <c r="E127" s="482">
        <f t="shared" si="23"/>
        <v>61880</v>
      </c>
      <c r="F127" s="483">
        <f t="shared" si="24"/>
        <v>804924</v>
      </c>
      <c r="G127" s="483">
        <f t="shared" si="25"/>
        <v>835864</v>
      </c>
      <c r="H127" s="611">
        <f t="shared" si="26"/>
        <v>156995.29915445147</v>
      </c>
      <c r="I127" s="612">
        <f t="shared" si="27"/>
        <v>156995.29915445147</v>
      </c>
      <c r="J127" s="476">
        <f t="shared" si="17"/>
        <v>0</v>
      </c>
      <c r="K127" s="476"/>
      <c r="L127" s="485"/>
      <c r="M127" s="476">
        <f t="shared" si="22"/>
        <v>0</v>
      </c>
      <c r="N127" s="485"/>
      <c r="O127" s="476">
        <f t="shared" si="15"/>
        <v>0</v>
      </c>
      <c r="P127" s="476">
        <f t="shared" si="16"/>
        <v>0</v>
      </c>
    </row>
    <row r="128" spans="2:16">
      <c r="B128" s="160" t="str">
        <f t="shared" si="21"/>
        <v/>
      </c>
      <c r="C128" s="470">
        <f>IF(D93="","-",+C127+1)</f>
        <v>2049</v>
      </c>
      <c r="D128" s="345">
        <f>IF(F127+SUM(E$99:E127)=D$92,F127,D$92-SUM(E$99:E127))</f>
        <v>804924</v>
      </c>
      <c r="E128" s="482">
        <f t="shared" si="23"/>
        <v>61880</v>
      </c>
      <c r="F128" s="483">
        <f t="shared" si="24"/>
        <v>743044</v>
      </c>
      <c r="G128" s="483">
        <f t="shared" si="25"/>
        <v>773984</v>
      </c>
      <c r="H128" s="611">
        <f t="shared" si="26"/>
        <v>149953.80112166447</v>
      </c>
      <c r="I128" s="612">
        <f t="shared" si="27"/>
        <v>149953.80112166447</v>
      </c>
      <c r="J128" s="476">
        <f t="shared" si="17"/>
        <v>0</v>
      </c>
      <c r="K128" s="476"/>
      <c r="L128" s="485"/>
      <c r="M128" s="476">
        <f t="shared" si="22"/>
        <v>0</v>
      </c>
      <c r="N128" s="485"/>
      <c r="O128" s="476">
        <f t="shared" si="15"/>
        <v>0</v>
      </c>
      <c r="P128" s="476">
        <f t="shared" si="16"/>
        <v>0</v>
      </c>
    </row>
    <row r="129" spans="2:16">
      <c r="B129" s="160" t="str">
        <f t="shared" si="21"/>
        <v/>
      </c>
      <c r="C129" s="470">
        <f>IF(D93="","-",+C128+1)</f>
        <v>2050</v>
      </c>
      <c r="D129" s="345">
        <f>IF(F128+SUM(E$99:E128)=D$92,F128,D$92-SUM(E$99:E128))</f>
        <v>743044</v>
      </c>
      <c r="E129" s="482">
        <f t="shared" si="23"/>
        <v>61880</v>
      </c>
      <c r="F129" s="483">
        <f t="shared" si="24"/>
        <v>681164</v>
      </c>
      <c r="G129" s="483">
        <f t="shared" si="25"/>
        <v>712104</v>
      </c>
      <c r="H129" s="611">
        <f t="shared" si="26"/>
        <v>142912.3030888775</v>
      </c>
      <c r="I129" s="612">
        <f t="shared" si="27"/>
        <v>142912.3030888775</v>
      </c>
      <c r="J129" s="476">
        <f t="shared" si="17"/>
        <v>0</v>
      </c>
      <c r="K129" s="476"/>
      <c r="L129" s="485"/>
      <c r="M129" s="476">
        <f t="shared" si="22"/>
        <v>0</v>
      </c>
      <c r="N129" s="485"/>
      <c r="O129" s="476">
        <f t="shared" si="15"/>
        <v>0</v>
      </c>
      <c r="P129" s="476">
        <f t="shared" si="16"/>
        <v>0</v>
      </c>
    </row>
    <row r="130" spans="2:16">
      <c r="B130" s="160" t="str">
        <f t="shared" si="21"/>
        <v/>
      </c>
      <c r="C130" s="470">
        <f>IF(D93="","-",+C129+1)</f>
        <v>2051</v>
      </c>
      <c r="D130" s="345">
        <f>IF(F129+SUM(E$99:E129)=D$92,F129,D$92-SUM(E$99:E129))</f>
        <v>681164</v>
      </c>
      <c r="E130" s="482">
        <f t="shared" si="23"/>
        <v>61880</v>
      </c>
      <c r="F130" s="483">
        <f t="shared" si="24"/>
        <v>619284</v>
      </c>
      <c r="G130" s="483">
        <f t="shared" si="25"/>
        <v>650224</v>
      </c>
      <c r="H130" s="611">
        <f t="shared" si="26"/>
        <v>135870.80505609052</v>
      </c>
      <c r="I130" s="612">
        <f t="shared" si="27"/>
        <v>135870.80505609052</v>
      </c>
      <c r="J130" s="476">
        <f t="shared" si="17"/>
        <v>0</v>
      </c>
      <c r="K130" s="476"/>
      <c r="L130" s="485"/>
      <c r="M130" s="476">
        <f t="shared" si="22"/>
        <v>0</v>
      </c>
      <c r="N130" s="485"/>
      <c r="O130" s="476">
        <f t="shared" si="15"/>
        <v>0</v>
      </c>
      <c r="P130" s="476">
        <f t="shared" si="16"/>
        <v>0</v>
      </c>
    </row>
    <row r="131" spans="2:16">
      <c r="B131" s="160" t="str">
        <f t="shared" si="21"/>
        <v/>
      </c>
      <c r="C131" s="470">
        <f>IF(D93="","-",+C130+1)</f>
        <v>2052</v>
      </c>
      <c r="D131" s="345">
        <f>IF(F130+SUM(E$99:E130)=D$92,F130,D$92-SUM(E$99:E130))</f>
        <v>619284</v>
      </c>
      <c r="E131" s="482">
        <f t="shared" si="23"/>
        <v>61880</v>
      </c>
      <c r="F131" s="483">
        <f t="shared" si="24"/>
        <v>557404</v>
      </c>
      <c r="G131" s="483">
        <f t="shared" si="25"/>
        <v>588344</v>
      </c>
      <c r="H131" s="611">
        <f t="shared" si="26"/>
        <v>128829.30702330354</v>
      </c>
      <c r="I131" s="612">
        <f t="shared" si="27"/>
        <v>128829.30702330354</v>
      </c>
      <c r="J131" s="476">
        <f t="shared" ref="J131:J154" si="28">+I541-H541</f>
        <v>0</v>
      </c>
      <c r="K131" s="476"/>
      <c r="L131" s="485"/>
      <c r="M131" s="476">
        <f t="shared" ref="M131:M154" si="29">IF(L541&lt;&gt;0,+H541-L541,0)</f>
        <v>0</v>
      </c>
      <c r="N131" s="485"/>
      <c r="O131" s="476">
        <f t="shared" ref="O131:O154" si="30">IF(N541&lt;&gt;0,+I541-N541,0)</f>
        <v>0</v>
      </c>
      <c r="P131" s="476">
        <f t="shared" ref="P131:P154" si="31">+O541-M541</f>
        <v>0</v>
      </c>
    </row>
    <row r="132" spans="2:16">
      <c r="B132" s="160" t="str">
        <f t="shared" si="21"/>
        <v/>
      </c>
      <c r="C132" s="470">
        <f>IF(D93="","-",+C131+1)</f>
        <v>2053</v>
      </c>
      <c r="D132" s="345">
        <f>IF(F131+SUM(E$99:E131)=D$92,F131,D$92-SUM(E$99:E131))</f>
        <v>557404</v>
      </c>
      <c r="E132" s="482">
        <f t="shared" si="23"/>
        <v>61880</v>
      </c>
      <c r="F132" s="483">
        <f t="shared" si="24"/>
        <v>495524</v>
      </c>
      <c r="G132" s="483">
        <f t="shared" si="25"/>
        <v>526464</v>
      </c>
      <c r="H132" s="611">
        <f t="shared" si="26"/>
        <v>121787.80899051655</v>
      </c>
      <c r="I132" s="612">
        <f t="shared" si="27"/>
        <v>121787.80899051655</v>
      </c>
      <c r="J132" s="476">
        <f t="shared" si="28"/>
        <v>0</v>
      </c>
      <c r="K132" s="476"/>
      <c r="L132" s="485"/>
      <c r="M132" s="476">
        <f t="shared" si="29"/>
        <v>0</v>
      </c>
      <c r="N132" s="485"/>
      <c r="O132" s="476">
        <f t="shared" si="30"/>
        <v>0</v>
      </c>
      <c r="P132" s="476">
        <f t="shared" si="31"/>
        <v>0</v>
      </c>
    </row>
    <row r="133" spans="2:16">
      <c r="B133" s="160" t="str">
        <f t="shared" si="21"/>
        <v/>
      </c>
      <c r="C133" s="470">
        <f>IF(D93="","-",+C132+1)</f>
        <v>2054</v>
      </c>
      <c r="D133" s="345">
        <f>IF(F132+SUM(E$99:E132)=D$92,F132,D$92-SUM(E$99:E132))</f>
        <v>495524</v>
      </c>
      <c r="E133" s="482">
        <f t="shared" si="23"/>
        <v>61880</v>
      </c>
      <c r="F133" s="483">
        <f t="shared" si="24"/>
        <v>433644</v>
      </c>
      <c r="G133" s="483">
        <f t="shared" si="25"/>
        <v>464584</v>
      </c>
      <c r="H133" s="611">
        <f t="shared" si="26"/>
        <v>114746.31095772958</v>
      </c>
      <c r="I133" s="612">
        <f t="shared" si="27"/>
        <v>114746.31095772958</v>
      </c>
      <c r="J133" s="476">
        <f t="shared" si="28"/>
        <v>0</v>
      </c>
      <c r="K133" s="476"/>
      <c r="L133" s="485"/>
      <c r="M133" s="476">
        <f t="shared" si="29"/>
        <v>0</v>
      </c>
      <c r="N133" s="485"/>
      <c r="O133" s="476">
        <f t="shared" si="30"/>
        <v>0</v>
      </c>
      <c r="P133" s="476">
        <f t="shared" si="31"/>
        <v>0</v>
      </c>
    </row>
    <row r="134" spans="2:16">
      <c r="B134" s="160" t="str">
        <f t="shared" si="21"/>
        <v/>
      </c>
      <c r="C134" s="470">
        <f>IF(D93="","-",+C133+1)</f>
        <v>2055</v>
      </c>
      <c r="D134" s="345">
        <f>IF(F133+SUM(E$99:E133)=D$92,F133,D$92-SUM(E$99:E133))</f>
        <v>433644</v>
      </c>
      <c r="E134" s="482">
        <f t="shared" si="23"/>
        <v>61880</v>
      </c>
      <c r="F134" s="483">
        <f t="shared" si="24"/>
        <v>371764</v>
      </c>
      <c r="G134" s="483">
        <f t="shared" si="25"/>
        <v>402704</v>
      </c>
      <c r="H134" s="611">
        <f t="shared" si="26"/>
        <v>107704.8129249426</v>
      </c>
      <c r="I134" s="612">
        <f t="shared" si="27"/>
        <v>107704.8129249426</v>
      </c>
      <c r="J134" s="476">
        <f t="shared" si="28"/>
        <v>0</v>
      </c>
      <c r="K134" s="476"/>
      <c r="L134" s="485"/>
      <c r="M134" s="476">
        <f t="shared" si="29"/>
        <v>0</v>
      </c>
      <c r="N134" s="485"/>
      <c r="O134" s="476">
        <f t="shared" si="30"/>
        <v>0</v>
      </c>
      <c r="P134" s="476">
        <f t="shared" si="31"/>
        <v>0</v>
      </c>
    </row>
    <row r="135" spans="2:16">
      <c r="B135" s="160" t="str">
        <f t="shared" si="21"/>
        <v/>
      </c>
      <c r="C135" s="470">
        <f>IF(D93="","-",+C134+1)</f>
        <v>2056</v>
      </c>
      <c r="D135" s="345">
        <f>IF(F134+SUM(E$99:E134)=D$92,F134,D$92-SUM(E$99:E134))</f>
        <v>371764</v>
      </c>
      <c r="E135" s="482">
        <f t="shared" si="23"/>
        <v>61880</v>
      </c>
      <c r="F135" s="483">
        <f t="shared" si="24"/>
        <v>309884</v>
      </c>
      <c r="G135" s="483">
        <f t="shared" si="25"/>
        <v>340824</v>
      </c>
      <c r="H135" s="611">
        <f t="shared" si="26"/>
        <v>100663.31489215561</v>
      </c>
      <c r="I135" s="612">
        <f t="shared" si="27"/>
        <v>100663.31489215561</v>
      </c>
      <c r="J135" s="476">
        <f t="shared" si="28"/>
        <v>0</v>
      </c>
      <c r="K135" s="476"/>
      <c r="L135" s="485"/>
      <c r="M135" s="476">
        <f t="shared" si="29"/>
        <v>0</v>
      </c>
      <c r="N135" s="485"/>
      <c r="O135" s="476">
        <f t="shared" si="30"/>
        <v>0</v>
      </c>
      <c r="P135" s="476">
        <f t="shared" si="31"/>
        <v>0</v>
      </c>
    </row>
    <row r="136" spans="2:16">
      <c r="B136" s="160" t="str">
        <f t="shared" si="21"/>
        <v/>
      </c>
      <c r="C136" s="470">
        <f>IF(D93="","-",+C135+1)</f>
        <v>2057</v>
      </c>
      <c r="D136" s="345">
        <f>IF(F135+SUM(E$99:E135)=D$92,F135,D$92-SUM(E$99:E135))</f>
        <v>309884</v>
      </c>
      <c r="E136" s="482">
        <f t="shared" si="23"/>
        <v>61880</v>
      </c>
      <c r="F136" s="483">
        <f t="shared" si="24"/>
        <v>248004</v>
      </c>
      <c r="G136" s="483">
        <f t="shared" si="25"/>
        <v>278944</v>
      </c>
      <c r="H136" s="611">
        <f t="shared" si="26"/>
        <v>93621.816859368642</v>
      </c>
      <c r="I136" s="612">
        <f t="shared" si="27"/>
        <v>93621.816859368642</v>
      </c>
      <c r="J136" s="476">
        <f t="shared" si="28"/>
        <v>0</v>
      </c>
      <c r="K136" s="476"/>
      <c r="L136" s="485"/>
      <c r="M136" s="476">
        <f t="shared" si="29"/>
        <v>0</v>
      </c>
      <c r="N136" s="485"/>
      <c r="O136" s="476">
        <f t="shared" si="30"/>
        <v>0</v>
      </c>
      <c r="P136" s="476">
        <f t="shared" si="31"/>
        <v>0</v>
      </c>
    </row>
    <row r="137" spans="2:16">
      <c r="B137" s="160" t="str">
        <f t="shared" si="21"/>
        <v/>
      </c>
      <c r="C137" s="470">
        <f>IF(D93="","-",+C136+1)</f>
        <v>2058</v>
      </c>
      <c r="D137" s="345">
        <f>IF(F136+SUM(E$99:E136)=D$92,F136,D$92-SUM(E$99:E136))</f>
        <v>248004</v>
      </c>
      <c r="E137" s="482">
        <f t="shared" si="23"/>
        <v>61880</v>
      </c>
      <c r="F137" s="483">
        <f t="shared" si="24"/>
        <v>186124</v>
      </c>
      <c r="G137" s="483">
        <f t="shared" si="25"/>
        <v>217064</v>
      </c>
      <c r="H137" s="611">
        <f t="shared" si="26"/>
        <v>86580.318826581657</v>
      </c>
      <c r="I137" s="612">
        <f t="shared" si="27"/>
        <v>86580.318826581657</v>
      </c>
      <c r="J137" s="476">
        <f t="shared" si="28"/>
        <v>0</v>
      </c>
      <c r="K137" s="476"/>
      <c r="L137" s="485"/>
      <c r="M137" s="476">
        <f t="shared" si="29"/>
        <v>0</v>
      </c>
      <c r="N137" s="485"/>
      <c r="O137" s="476">
        <f t="shared" si="30"/>
        <v>0</v>
      </c>
      <c r="P137" s="476">
        <f t="shared" si="31"/>
        <v>0</v>
      </c>
    </row>
    <row r="138" spans="2:16">
      <c r="B138" s="160" t="str">
        <f t="shared" si="21"/>
        <v/>
      </c>
      <c r="C138" s="470">
        <f>IF(D93="","-",+C137+1)</f>
        <v>2059</v>
      </c>
      <c r="D138" s="345">
        <f>IF(F137+SUM(E$99:E137)=D$92,F137,D$92-SUM(E$99:E137))</f>
        <v>186124</v>
      </c>
      <c r="E138" s="482">
        <f t="shared" si="23"/>
        <v>61880</v>
      </c>
      <c r="F138" s="483">
        <f t="shared" si="24"/>
        <v>124244</v>
      </c>
      <c r="G138" s="483">
        <f t="shared" si="25"/>
        <v>155184</v>
      </c>
      <c r="H138" s="611">
        <f t="shared" si="26"/>
        <v>79538.820793794672</v>
      </c>
      <c r="I138" s="612">
        <f t="shared" si="27"/>
        <v>79538.820793794672</v>
      </c>
      <c r="J138" s="476">
        <f t="shared" si="28"/>
        <v>0</v>
      </c>
      <c r="K138" s="476"/>
      <c r="L138" s="485"/>
      <c r="M138" s="476">
        <f t="shared" si="29"/>
        <v>0</v>
      </c>
      <c r="N138" s="485"/>
      <c r="O138" s="476">
        <f t="shared" si="30"/>
        <v>0</v>
      </c>
      <c r="P138" s="476">
        <f t="shared" si="31"/>
        <v>0</v>
      </c>
    </row>
    <row r="139" spans="2:16">
      <c r="B139" s="160" t="str">
        <f t="shared" si="21"/>
        <v/>
      </c>
      <c r="C139" s="470">
        <f>IF(D93="","-",+C138+1)</f>
        <v>2060</v>
      </c>
      <c r="D139" s="345">
        <f>IF(F138+SUM(E$99:E138)=D$92,F138,D$92-SUM(E$99:E138))</f>
        <v>124244</v>
      </c>
      <c r="E139" s="482">
        <f t="shared" si="23"/>
        <v>61880</v>
      </c>
      <c r="F139" s="483">
        <f t="shared" si="24"/>
        <v>62364</v>
      </c>
      <c r="G139" s="483">
        <f t="shared" si="25"/>
        <v>93304</v>
      </c>
      <c r="H139" s="611">
        <f t="shared" si="26"/>
        <v>72497.322761007701</v>
      </c>
      <c r="I139" s="612">
        <f t="shared" si="27"/>
        <v>72497.322761007701</v>
      </c>
      <c r="J139" s="476">
        <f t="shared" si="28"/>
        <v>0</v>
      </c>
      <c r="K139" s="476"/>
      <c r="L139" s="485"/>
      <c r="M139" s="476">
        <f t="shared" si="29"/>
        <v>0</v>
      </c>
      <c r="N139" s="485"/>
      <c r="O139" s="476">
        <f t="shared" si="30"/>
        <v>0</v>
      </c>
      <c r="P139" s="476">
        <f t="shared" si="31"/>
        <v>0</v>
      </c>
    </row>
    <row r="140" spans="2:16">
      <c r="B140" s="160" t="str">
        <f t="shared" si="21"/>
        <v/>
      </c>
      <c r="C140" s="470">
        <f>IF(D93="","-",+C139+1)</f>
        <v>2061</v>
      </c>
      <c r="D140" s="345">
        <f>IF(F139+SUM(E$99:E139)=D$92,F139,D$92-SUM(E$99:E139))</f>
        <v>62364</v>
      </c>
      <c r="E140" s="482">
        <f t="shared" si="23"/>
        <v>61880</v>
      </c>
      <c r="F140" s="483">
        <f t="shared" si="24"/>
        <v>484</v>
      </c>
      <c r="G140" s="483">
        <f t="shared" si="25"/>
        <v>31424</v>
      </c>
      <c r="H140" s="611">
        <f t="shared" si="26"/>
        <v>65455.824728220716</v>
      </c>
      <c r="I140" s="612">
        <f t="shared" si="27"/>
        <v>65455.824728220716</v>
      </c>
      <c r="J140" s="476">
        <f t="shared" si="28"/>
        <v>0</v>
      </c>
      <c r="K140" s="476"/>
      <c r="L140" s="485"/>
      <c r="M140" s="476">
        <f t="shared" si="29"/>
        <v>0</v>
      </c>
      <c r="N140" s="485"/>
      <c r="O140" s="476">
        <f t="shared" si="30"/>
        <v>0</v>
      </c>
      <c r="P140" s="476">
        <f t="shared" si="31"/>
        <v>0</v>
      </c>
    </row>
    <row r="141" spans="2:16">
      <c r="B141" s="160" t="str">
        <f t="shared" si="21"/>
        <v/>
      </c>
      <c r="C141" s="470">
        <f>IF(D93="","-",+C140+1)</f>
        <v>2062</v>
      </c>
      <c r="D141" s="345">
        <f>IF(F140+SUM(E$99:E140)=D$92,F140,D$92-SUM(E$99:E140))</f>
        <v>484</v>
      </c>
      <c r="E141" s="482">
        <f t="shared" si="23"/>
        <v>484</v>
      </c>
      <c r="F141" s="483">
        <f t="shared" si="24"/>
        <v>0</v>
      </c>
      <c r="G141" s="483">
        <f t="shared" si="25"/>
        <v>242</v>
      </c>
      <c r="H141" s="611">
        <f t="shared" si="26"/>
        <v>511.53785591361424</v>
      </c>
      <c r="I141" s="612">
        <f t="shared" si="27"/>
        <v>511.53785591361424</v>
      </c>
      <c r="J141" s="476">
        <f t="shared" si="28"/>
        <v>0</v>
      </c>
      <c r="K141" s="476"/>
      <c r="L141" s="485"/>
      <c r="M141" s="476">
        <f t="shared" si="29"/>
        <v>0</v>
      </c>
      <c r="N141" s="485"/>
      <c r="O141" s="476">
        <f t="shared" si="30"/>
        <v>0</v>
      </c>
      <c r="P141" s="476">
        <f t="shared" si="31"/>
        <v>0</v>
      </c>
    </row>
    <row r="142" spans="2:16">
      <c r="B142" s="160" t="str">
        <f t="shared" si="21"/>
        <v/>
      </c>
      <c r="C142" s="470">
        <f>IF(D93="","-",+C141+1)</f>
        <v>2063</v>
      </c>
      <c r="D142" s="345">
        <f>IF(F141+SUM(E$99:E141)=D$92,F141,D$92-SUM(E$99:E141))</f>
        <v>0</v>
      </c>
      <c r="E142" s="482">
        <f t="shared" si="23"/>
        <v>0</v>
      </c>
      <c r="F142" s="483">
        <f t="shared" si="24"/>
        <v>0</v>
      </c>
      <c r="G142" s="483">
        <f t="shared" si="25"/>
        <v>0</v>
      </c>
      <c r="H142" s="611">
        <f t="shared" si="26"/>
        <v>0</v>
      </c>
      <c r="I142" s="612">
        <f t="shared" si="27"/>
        <v>0</v>
      </c>
      <c r="J142" s="476">
        <f t="shared" si="28"/>
        <v>0</v>
      </c>
      <c r="K142" s="476"/>
      <c r="L142" s="485"/>
      <c r="M142" s="476">
        <f t="shared" si="29"/>
        <v>0</v>
      </c>
      <c r="N142" s="485"/>
      <c r="O142" s="476">
        <f t="shared" si="30"/>
        <v>0</v>
      </c>
      <c r="P142" s="476">
        <f t="shared" si="31"/>
        <v>0</v>
      </c>
    </row>
    <row r="143" spans="2:16">
      <c r="B143" s="160" t="str">
        <f t="shared" si="21"/>
        <v/>
      </c>
      <c r="C143" s="470">
        <f>IF(D93="","-",+C142+1)</f>
        <v>2064</v>
      </c>
      <c r="D143" s="345">
        <f>IF(F142+SUM(E$99:E142)=D$92,F142,D$92-SUM(E$99:E142))</f>
        <v>0</v>
      </c>
      <c r="E143" s="482">
        <f t="shared" si="23"/>
        <v>0</v>
      </c>
      <c r="F143" s="483">
        <f t="shared" si="24"/>
        <v>0</v>
      </c>
      <c r="G143" s="483">
        <f t="shared" si="25"/>
        <v>0</v>
      </c>
      <c r="H143" s="611">
        <f t="shared" si="26"/>
        <v>0</v>
      </c>
      <c r="I143" s="612">
        <f t="shared" si="27"/>
        <v>0</v>
      </c>
      <c r="J143" s="476">
        <f t="shared" si="28"/>
        <v>0</v>
      </c>
      <c r="K143" s="476"/>
      <c r="L143" s="485"/>
      <c r="M143" s="476">
        <f t="shared" si="29"/>
        <v>0</v>
      </c>
      <c r="N143" s="485"/>
      <c r="O143" s="476">
        <f t="shared" si="30"/>
        <v>0</v>
      </c>
      <c r="P143" s="476">
        <f t="shared" si="31"/>
        <v>0</v>
      </c>
    </row>
    <row r="144" spans="2:16">
      <c r="B144" s="160" t="str">
        <f t="shared" si="21"/>
        <v/>
      </c>
      <c r="C144" s="470">
        <f>IF(D93="","-",+C143+1)</f>
        <v>2065</v>
      </c>
      <c r="D144" s="345">
        <f>IF(F143+SUM(E$99:E143)=D$92,F143,D$92-SUM(E$99:E143))</f>
        <v>0</v>
      </c>
      <c r="E144" s="482">
        <f t="shared" si="23"/>
        <v>0</v>
      </c>
      <c r="F144" s="483">
        <f t="shared" si="24"/>
        <v>0</v>
      </c>
      <c r="G144" s="483">
        <f t="shared" si="25"/>
        <v>0</v>
      </c>
      <c r="H144" s="611">
        <f t="shared" si="26"/>
        <v>0</v>
      </c>
      <c r="I144" s="612">
        <f t="shared" si="27"/>
        <v>0</v>
      </c>
      <c r="J144" s="476">
        <f t="shared" si="28"/>
        <v>0</v>
      </c>
      <c r="K144" s="476"/>
      <c r="L144" s="485"/>
      <c r="M144" s="476">
        <f t="shared" si="29"/>
        <v>0</v>
      </c>
      <c r="N144" s="485"/>
      <c r="O144" s="476">
        <f t="shared" si="30"/>
        <v>0</v>
      </c>
      <c r="P144" s="476">
        <f t="shared" si="31"/>
        <v>0</v>
      </c>
    </row>
    <row r="145" spans="2:16">
      <c r="B145" s="160" t="str">
        <f t="shared" si="21"/>
        <v/>
      </c>
      <c r="C145" s="470">
        <f>IF(D93="","-",+C144+1)</f>
        <v>2066</v>
      </c>
      <c r="D145" s="345">
        <f>IF(F144+SUM(E$99:E144)=D$92,F144,D$92-SUM(E$99:E144))</f>
        <v>0</v>
      </c>
      <c r="E145" s="482">
        <f t="shared" si="23"/>
        <v>0</v>
      </c>
      <c r="F145" s="483">
        <f t="shared" si="24"/>
        <v>0</v>
      </c>
      <c r="G145" s="483">
        <f t="shared" si="25"/>
        <v>0</v>
      </c>
      <c r="H145" s="611">
        <f t="shared" si="26"/>
        <v>0</v>
      </c>
      <c r="I145" s="612">
        <f t="shared" si="27"/>
        <v>0</v>
      </c>
      <c r="J145" s="476">
        <f t="shared" si="28"/>
        <v>0</v>
      </c>
      <c r="K145" s="476"/>
      <c r="L145" s="485"/>
      <c r="M145" s="476">
        <f t="shared" si="29"/>
        <v>0</v>
      </c>
      <c r="N145" s="485"/>
      <c r="O145" s="476">
        <f t="shared" si="30"/>
        <v>0</v>
      </c>
      <c r="P145" s="476">
        <f t="shared" si="31"/>
        <v>0</v>
      </c>
    </row>
    <row r="146" spans="2:16">
      <c r="B146" s="160" t="str">
        <f t="shared" si="21"/>
        <v/>
      </c>
      <c r="C146" s="470">
        <f>IF(D93="","-",+C145+1)</f>
        <v>2067</v>
      </c>
      <c r="D146" s="345">
        <f>IF(F145+SUM(E$99:E145)=D$92,F145,D$92-SUM(E$99:E145))</f>
        <v>0</v>
      </c>
      <c r="E146" s="482">
        <f t="shared" si="23"/>
        <v>0</v>
      </c>
      <c r="F146" s="483">
        <f t="shared" si="24"/>
        <v>0</v>
      </c>
      <c r="G146" s="483">
        <f t="shared" si="25"/>
        <v>0</v>
      </c>
      <c r="H146" s="611">
        <f t="shared" si="26"/>
        <v>0</v>
      </c>
      <c r="I146" s="612">
        <f t="shared" si="27"/>
        <v>0</v>
      </c>
      <c r="J146" s="476">
        <f t="shared" si="28"/>
        <v>0</v>
      </c>
      <c r="K146" s="476"/>
      <c r="L146" s="485"/>
      <c r="M146" s="476">
        <f t="shared" si="29"/>
        <v>0</v>
      </c>
      <c r="N146" s="485"/>
      <c r="O146" s="476">
        <f t="shared" si="30"/>
        <v>0</v>
      </c>
      <c r="P146" s="476">
        <f t="shared" si="31"/>
        <v>0</v>
      </c>
    </row>
    <row r="147" spans="2:16">
      <c r="B147" s="160" t="str">
        <f t="shared" si="21"/>
        <v/>
      </c>
      <c r="C147" s="470">
        <f>IF(D93="","-",+C146+1)</f>
        <v>2068</v>
      </c>
      <c r="D147" s="345">
        <f>IF(F146+SUM(E$99:E146)=D$92,F146,D$92-SUM(E$99:E146))</f>
        <v>0</v>
      </c>
      <c r="E147" s="482">
        <f t="shared" si="23"/>
        <v>0</v>
      </c>
      <c r="F147" s="483">
        <f t="shared" si="24"/>
        <v>0</v>
      </c>
      <c r="G147" s="483">
        <f t="shared" si="25"/>
        <v>0</v>
      </c>
      <c r="H147" s="611">
        <f t="shared" si="26"/>
        <v>0</v>
      </c>
      <c r="I147" s="612">
        <f t="shared" si="27"/>
        <v>0</v>
      </c>
      <c r="J147" s="476">
        <f t="shared" si="28"/>
        <v>0</v>
      </c>
      <c r="K147" s="476"/>
      <c r="L147" s="485"/>
      <c r="M147" s="476">
        <f t="shared" si="29"/>
        <v>0</v>
      </c>
      <c r="N147" s="485"/>
      <c r="O147" s="476">
        <f t="shared" si="30"/>
        <v>0</v>
      </c>
      <c r="P147" s="476">
        <f t="shared" si="31"/>
        <v>0</v>
      </c>
    </row>
    <row r="148" spans="2:16">
      <c r="B148" s="160" t="str">
        <f t="shared" si="21"/>
        <v/>
      </c>
      <c r="C148" s="470">
        <f>IF(D93="","-",+C147+1)</f>
        <v>2069</v>
      </c>
      <c r="D148" s="345">
        <f>IF(F147+SUM(E$99:E147)=D$92,F147,D$92-SUM(E$99:E147))</f>
        <v>0</v>
      </c>
      <c r="E148" s="482">
        <f t="shared" si="23"/>
        <v>0</v>
      </c>
      <c r="F148" s="483">
        <f t="shared" si="24"/>
        <v>0</v>
      </c>
      <c r="G148" s="483">
        <f t="shared" si="25"/>
        <v>0</v>
      </c>
      <c r="H148" s="611">
        <f t="shared" si="26"/>
        <v>0</v>
      </c>
      <c r="I148" s="612">
        <f t="shared" si="27"/>
        <v>0</v>
      </c>
      <c r="J148" s="476">
        <f t="shared" si="28"/>
        <v>0</v>
      </c>
      <c r="K148" s="476"/>
      <c r="L148" s="485"/>
      <c r="M148" s="476">
        <f t="shared" si="29"/>
        <v>0</v>
      </c>
      <c r="N148" s="485"/>
      <c r="O148" s="476">
        <f t="shared" si="30"/>
        <v>0</v>
      </c>
      <c r="P148" s="476">
        <f t="shared" si="31"/>
        <v>0</v>
      </c>
    </row>
    <row r="149" spans="2:16">
      <c r="B149" s="160" t="str">
        <f t="shared" si="21"/>
        <v/>
      </c>
      <c r="C149" s="470">
        <f>IF(D93="","-",+C148+1)</f>
        <v>2070</v>
      </c>
      <c r="D149" s="345">
        <f>IF(F148+SUM(E$99:E148)=D$92,F148,D$92-SUM(E$99:E148))</f>
        <v>0</v>
      </c>
      <c r="E149" s="482">
        <f t="shared" si="23"/>
        <v>0</v>
      </c>
      <c r="F149" s="483">
        <f t="shared" si="24"/>
        <v>0</v>
      </c>
      <c r="G149" s="483">
        <f t="shared" si="25"/>
        <v>0</v>
      </c>
      <c r="H149" s="611">
        <f t="shared" si="26"/>
        <v>0</v>
      </c>
      <c r="I149" s="612">
        <f t="shared" si="27"/>
        <v>0</v>
      </c>
      <c r="J149" s="476">
        <f t="shared" si="28"/>
        <v>0</v>
      </c>
      <c r="K149" s="476"/>
      <c r="L149" s="485"/>
      <c r="M149" s="476">
        <f t="shared" si="29"/>
        <v>0</v>
      </c>
      <c r="N149" s="485"/>
      <c r="O149" s="476">
        <f t="shared" si="30"/>
        <v>0</v>
      </c>
      <c r="P149" s="476">
        <f t="shared" si="31"/>
        <v>0</v>
      </c>
    </row>
    <row r="150" spans="2:16">
      <c r="B150" s="160" t="str">
        <f t="shared" si="21"/>
        <v/>
      </c>
      <c r="C150" s="470">
        <f>IF(D93="","-",+C149+1)</f>
        <v>2071</v>
      </c>
      <c r="D150" s="345">
        <f>IF(F149+SUM(E$99:E149)=D$92,F149,D$92-SUM(E$99:E149))</f>
        <v>0</v>
      </c>
      <c r="E150" s="482">
        <f t="shared" si="23"/>
        <v>0</v>
      </c>
      <c r="F150" s="483">
        <f t="shared" si="24"/>
        <v>0</v>
      </c>
      <c r="G150" s="483">
        <f t="shared" si="25"/>
        <v>0</v>
      </c>
      <c r="H150" s="611">
        <f t="shared" si="26"/>
        <v>0</v>
      </c>
      <c r="I150" s="612">
        <f t="shared" si="27"/>
        <v>0</v>
      </c>
      <c r="J150" s="476">
        <f t="shared" si="28"/>
        <v>0</v>
      </c>
      <c r="K150" s="476"/>
      <c r="L150" s="485"/>
      <c r="M150" s="476">
        <f t="shared" si="29"/>
        <v>0</v>
      </c>
      <c r="N150" s="485"/>
      <c r="O150" s="476">
        <f t="shared" si="30"/>
        <v>0</v>
      </c>
      <c r="P150" s="476">
        <f t="shared" si="31"/>
        <v>0</v>
      </c>
    </row>
    <row r="151" spans="2:16">
      <c r="B151" s="160" t="str">
        <f t="shared" si="21"/>
        <v/>
      </c>
      <c r="C151" s="470">
        <f>IF(D93="","-",+C150+1)</f>
        <v>2072</v>
      </c>
      <c r="D151" s="345">
        <f>IF(F150+SUM(E$99:E150)=D$92,F150,D$92-SUM(E$99:E150))</f>
        <v>0</v>
      </c>
      <c r="E151" s="482">
        <f t="shared" si="23"/>
        <v>0</v>
      </c>
      <c r="F151" s="483">
        <f t="shared" si="24"/>
        <v>0</v>
      </c>
      <c r="G151" s="483">
        <f t="shared" si="25"/>
        <v>0</v>
      </c>
      <c r="H151" s="611">
        <f t="shared" si="26"/>
        <v>0</v>
      </c>
      <c r="I151" s="612">
        <f t="shared" si="27"/>
        <v>0</v>
      </c>
      <c r="J151" s="476">
        <f t="shared" si="28"/>
        <v>0</v>
      </c>
      <c r="K151" s="476"/>
      <c r="L151" s="485"/>
      <c r="M151" s="476">
        <f t="shared" si="29"/>
        <v>0</v>
      </c>
      <c r="N151" s="485"/>
      <c r="O151" s="476">
        <f t="shared" si="30"/>
        <v>0</v>
      </c>
      <c r="P151" s="476">
        <f t="shared" si="31"/>
        <v>0</v>
      </c>
    </row>
    <row r="152" spans="2:16">
      <c r="B152" s="160" t="str">
        <f t="shared" si="21"/>
        <v/>
      </c>
      <c r="C152" s="470">
        <f>IF(D93="","-",+C151+1)</f>
        <v>2073</v>
      </c>
      <c r="D152" s="345">
        <f>IF(F151+SUM(E$99:E151)=D$92,F151,D$92-SUM(E$99:E151))</f>
        <v>0</v>
      </c>
      <c r="E152" s="482">
        <f t="shared" si="23"/>
        <v>0</v>
      </c>
      <c r="F152" s="483">
        <f t="shared" si="24"/>
        <v>0</v>
      </c>
      <c r="G152" s="483">
        <f t="shared" si="25"/>
        <v>0</v>
      </c>
      <c r="H152" s="611">
        <f t="shared" si="26"/>
        <v>0</v>
      </c>
      <c r="I152" s="612">
        <f t="shared" si="27"/>
        <v>0</v>
      </c>
      <c r="J152" s="476">
        <f t="shared" si="28"/>
        <v>0</v>
      </c>
      <c r="K152" s="476"/>
      <c r="L152" s="485"/>
      <c r="M152" s="476">
        <f t="shared" si="29"/>
        <v>0</v>
      </c>
      <c r="N152" s="485"/>
      <c r="O152" s="476">
        <f t="shared" si="30"/>
        <v>0</v>
      </c>
      <c r="P152" s="476">
        <f t="shared" si="31"/>
        <v>0</v>
      </c>
    </row>
    <row r="153" spans="2:16">
      <c r="B153" s="160" t="str">
        <f t="shared" si="21"/>
        <v/>
      </c>
      <c r="C153" s="470">
        <f>IF(D93="","-",+C152+1)</f>
        <v>2074</v>
      </c>
      <c r="D153" s="345">
        <f>IF(F152+SUM(E$99:E152)=D$92,F152,D$92-SUM(E$99:E152))</f>
        <v>0</v>
      </c>
      <c r="E153" s="482">
        <f t="shared" si="23"/>
        <v>0</v>
      </c>
      <c r="F153" s="483">
        <f t="shared" si="24"/>
        <v>0</v>
      </c>
      <c r="G153" s="483">
        <f t="shared" si="25"/>
        <v>0</v>
      </c>
      <c r="H153" s="611">
        <f t="shared" si="26"/>
        <v>0</v>
      </c>
      <c r="I153" s="612">
        <f t="shared" si="27"/>
        <v>0</v>
      </c>
      <c r="J153" s="476">
        <f t="shared" si="28"/>
        <v>0</v>
      </c>
      <c r="K153" s="476"/>
      <c r="L153" s="485"/>
      <c r="M153" s="476">
        <f t="shared" si="29"/>
        <v>0</v>
      </c>
      <c r="N153" s="485"/>
      <c r="O153" s="476">
        <f t="shared" si="30"/>
        <v>0</v>
      </c>
      <c r="P153" s="476">
        <f t="shared" si="31"/>
        <v>0</v>
      </c>
    </row>
    <row r="154" spans="2:16" ht="13.5" thickBot="1">
      <c r="B154" s="160" t="str">
        <f t="shared" si="21"/>
        <v/>
      </c>
      <c r="C154" s="487">
        <f>IF(D93="","-",+C153+1)</f>
        <v>2075</v>
      </c>
      <c r="D154" s="541">
        <f>IF(F153+SUM(E$99:E153)=D$92,F153,D$92-SUM(E$99:E153))</f>
        <v>0</v>
      </c>
      <c r="E154" s="489">
        <f t="shared" si="23"/>
        <v>0</v>
      </c>
      <c r="F154" s="488">
        <f t="shared" si="24"/>
        <v>0</v>
      </c>
      <c r="G154" s="488">
        <f t="shared" si="25"/>
        <v>0</v>
      </c>
      <c r="H154" s="613">
        <f t="shared" si="26"/>
        <v>0</v>
      </c>
      <c r="I154" s="614">
        <f t="shared" si="27"/>
        <v>0</v>
      </c>
      <c r="J154" s="493">
        <f t="shared" si="28"/>
        <v>0</v>
      </c>
      <c r="K154" s="476"/>
      <c r="L154" s="492"/>
      <c r="M154" s="493">
        <f t="shared" si="29"/>
        <v>0</v>
      </c>
      <c r="N154" s="492"/>
      <c r="O154" s="493">
        <f t="shared" si="30"/>
        <v>0</v>
      </c>
      <c r="P154" s="493">
        <f t="shared" si="31"/>
        <v>0</v>
      </c>
    </row>
    <row r="155" spans="2:16">
      <c r="C155" s="345" t="s">
        <v>77</v>
      </c>
      <c r="D155" s="346"/>
      <c r="E155" s="346">
        <f>SUM(E99:E154)</f>
        <v>2537089</v>
      </c>
      <c r="F155" s="346"/>
      <c r="G155" s="346"/>
      <c r="H155" s="346">
        <f>SUM(H99:H154)</f>
        <v>8578986.1037485637</v>
      </c>
      <c r="I155" s="346">
        <f>SUM(I99:I154)</f>
        <v>8578986.1037485637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149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13" priority="1" stopIfTrue="1" operator="equal">
      <formula>$I$10</formula>
    </cfRule>
  </conditionalFormatting>
  <conditionalFormatting sqref="C99:C154">
    <cfRule type="cellIs" dxfId="12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 tint="-0.14999847407452621"/>
  </sheetPr>
  <dimension ref="A1:P162"/>
  <sheetViews>
    <sheetView topLeftCell="A78" zoomScale="80" zoomScaleNormal="80" workbookViewId="0">
      <selection activeCell="J99" sqref="J99"/>
    </sheetView>
  </sheetViews>
  <sheetFormatPr defaultColWidth="8.7109375" defaultRowHeight="12.75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29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0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0</v>
      </c>
      <c r="O6" s="231"/>
      <c r="P6" s="231"/>
    </row>
    <row r="7" spans="1:16" ht="13.5" thickBot="1">
      <c r="C7" s="429" t="s">
        <v>46</v>
      </c>
      <c r="D7" s="620" t="s">
        <v>374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/>
      <c r="E8" s="436"/>
      <c r="F8" s="436"/>
      <c r="G8" s="436"/>
      <c r="H8" s="436"/>
      <c r="I8" s="436"/>
      <c r="J8" s="625"/>
      <c r="K8" s="436"/>
      <c r="L8" s="436"/>
      <c r="M8" s="436"/>
      <c r="N8" s="436"/>
      <c r="O8" s="625"/>
      <c r="P8" s="310"/>
    </row>
    <row r="9" spans="1:16" ht="13.5" thickBot="1">
      <c r="C9" s="438" t="s">
        <v>48</v>
      </c>
      <c r="D9" s="439" t="s">
        <v>375</v>
      </c>
      <c r="E9" s="621" t="s">
        <v>376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37862.590000000004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2022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6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996.3839473684211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3.5" thickBot="1">
      <c r="B17" s="160"/>
      <c r="C17" s="470">
        <f>IF(D11= "","-",D11)</f>
        <v>2022</v>
      </c>
      <c r="D17" s="582">
        <v>0</v>
      </c>
      <c r="E17" s="583">
        <v>20314.791666666668</v>
      </c>
      <c r="F17" s="582">
        <v>1442350.2083333333</v>
      </c>
      <c r="G17" s="583">
        <v>98065.578092049604</v>
      </c>
      <c r="H17" s="585">
        <v>98065.578092049604</v>
      </c>
      <c r="I17" s="65">
        <f>H17-G17</f>
        <v>0</v>
      </c>
      <c r="J17" s="473"/>
      <c r="K17" s="552">
        <f>+G17</f>
        <v>98065.578092049604</v>
      </c>
      <c r="L17" s="475">
        <f t="shared" ref="L17:L72" si="0">IF(K17&lt;&gt;0,+G17-K17,0)</f>
        <v>0</v>
      </c>
      <c r="M17" s="552">
        <f>+H17</f>
        <v>98065.578092049604</v>
      </c>
      <c r="N17" s="475">
        <f t="shared" ref="N17:N72" si="1">IF(M17&lt;&gt;0,+H17-M17,0)</f>
        <v>0</v>
      </c>
      <c r="O17" s="476">
        <f t="shared" ref="O17:O72" si="2">+N17-L17</f>
        <v>0</v>
      </c>
      <c r="P17" s="241"/>
    </row>
    <row r="18" spans="2:16">
      <c r="B18" s="160" t="str">
        <f>IF(D18=F17,"","IU")</f>
        <v>IU</v>
      </c>
      <c r="C18" s="470">
        <f>IF(D11="","-",+C17+1)</f>
        <v>2023</v>
      </c>
      <c r="D18" s="582">
        <v>0</v>
      </c>
      <c r="E18" s="583">
        <v>0</v>
      </c>
      <c r="F18" s="582">
        <v>0</v>
      </c>
      <c r="G18" s="583">
        <v>0</v>
      </c>
      <c r="H18" s="585">
        <v>0</v>
      </c>
      <c r="I18" s="65">
        <f>H18-G18</f>
        <v>0</v>
      </c>
      <c r="J18" s="473"/>
      <c r="K18" s="552">
        <f>+G18</f>
        <v>0</v>
      </c>
      <c r="L18" s="475">
        <f t="shared" ref="L18" si="3">IF(K18&lt;&gt;0,+G18-K18,0)</f>
        <v>0</v>
      </c>
      <c r="M18" s="552">
        <f>+H18</f>
        <v>0</v>
      </c>
      <c r="N18" s="475">
        <f t="shared" ref="N18" si="4">IF(M18&lt;&gt;0,+H18-M18,0)</f>
        <v>0</v>
      </c>
      <c r="O18" s="476">
        <f t="shared" ref="O18" si="5">+N18-L18</f>
        <v>0</v>
      </c>
      <c r="P18" s="241"/>
    </row>
    <row r="19" spans="2:16">
      <c r="B19" s="160" t="str">
        <f>IF(D19=F18,"","IU")</f>
        <v/>
      </c>
      <c r="C19" s="631">
        <f>IF(D11="","-",+C18+1)</f>
        <v>2024</v>
      </c>
      <c r="D19" s="71">
        <v>0</v>
      </c>
      <c r="E19" s="69">
        <f t="shared" ref="E19:E71" si="6">IF(+I$14&lt;F18,I$14,D19)</f>
        <v>0</v>
      </c>
      <c r="F19" s="68">
        <f t="shared" ref="F19:F71" si="7">+D19-E19</f>
        <v>0</v>
      </c>
      <c r="G19" s="70">
        <f t="shared" ref="G19:G71" si="8">(D19+F19)/2*I$12+E19</f>
        <v>0</v>
      </c>
      <c r="H19" s="52">
        <f t="shared" ref="H19:H71" si="9">+(D19+F19)/2*I$13+E19</f>
        <v>0</v>
      </c>
      <c r="I19" s="65">
        <f t="shared" ref="I19:I71" si="10">H19-G19</f>
        <v>0</v>
      </c>
      <c r="J19" s="473"/>
      <c r="K19" s="485"/>
      <c r="L19" s="476">
        <f t="shared" si="0"/>
        <v>0</v>
      </c>
      <c r="M19" s="485"/>
      <c r="N19" s="476">
        <f t="shared" si="1"/>
        <v>0</v>
      </c>
      <c r="O19" s="476">
        <f t="shared" si="2"/>
        <v>0</v>
      </c>
      <c r="P19" s="241"/>
    </row>
    <row r="20" spans="2:16">
      <c r="B20" s="160" t="str">
        <f t="shared" ref="B20:B72" si="11">IF(D20=F19,"","IU")</f>
        <v/>
      </c>
      <c r="C20" s="470">
        <f>IF(D11="","-",+C19+1)</f>
        <v>2025</v>
      </c>
      <c r="D20" s="71">
        <v>0</v>
      </c>
      <c r="E20" s="69">
        <f t="shared" si="6"/>
        <v>0</v>
      </c>
      <c r="F20" s="68">
        <f t="shared" si="7"/>
        <v>0</v>
      </c>
      <c r="G20" s="70">
        <f t="shared" si="8"/>
        <v>0</v>
      </c>
      <c r="H20" s="52">
        <f t="shared" si="9"/>
        <v>0</v>
      </c>
      <c r="I20" s="65">
        <f t="shared" si="10"/>
        <v>0</v>
      </c>
      <c r="J20" s="473"/>
      <c r="K20" s="485"/>
      <c r="L20" s="476">
        <f t="shared" si="0"/>
        <v>0</v>
      </c>
      <c r="M20" s="485"/>
      <c r="N20" s="476">
        <f t="shared" si="1"/>
        <v>0</v>
      </c>
      <c r="O20" s="476">
        <f t="shared" si="2"/>
        <v>0</v>
      </c>
      <c r="P20" s="241"/>
    </row>
    <row r="21" spans="2:16">
      <c r="B21" s="160" t="str">
        <f t="shared" si="11"/>
        <v>IU</v>
      </c>
      <c r="C21" s="470">
        <f>IF(D11="","-",+C20+1)</f>
        <v>2026</v>
      </c>
      <c r="D21" s="71">
        <f>IF(F20+SUM(E$17:E20)=D$10,F20,D$10-SUM(E$17:E20))</f>
        <v>17547.798333333336</v>
      </c>
      <c r="E21" s="69">
        <f t="shared" si="6"/>
        <v>17547.798333333336</v>
      </c>
      <c r="F21" s="68">
        <f t="shared" si="7"/>
        <v>0</v>
      </c>
      <c r="G21" s="70">
        <f t="shared" si="8"/>
        <v>18545.743270354404</v>
      </c>
      <c r="H21" s="52">
        <f t="shared" si="9"/>
        <v>18545.743270354404</v>
      </c>
      <c r="I21" s="65">
        <f t="shared" si="10"/>
        <v>0</v>
      </c>
      <c r="J21" s="473"/>
      <c r="K21" s="485"/>
      <c r="L21" s="476">
        <f t="shared" si="0"/>
        <v>0</v>
      </c>
      <c r="M21" s="485"/>
      <c r="N21" s="476">
        <f t="shared" si="1"/>
        <v>0</v>
      </c>
      <c r="O21" s="476">
        <f t="shared" si="2"/>
        <v>0</v>
      </c>
      <c r="P21" s="241"/>
    </row>
    <row r="22" spans="2:16">
      <c r="B22" s="160" t="str">
        <f t="shared" si="11"/>
        <v/>
      </c>
      <c r="C22" s="470">
        <f>IF(D11="","-",+C21+1)</f>
        <v>2027</v>
      </c>
      <c r="D22" s="71">
        <f>IF(F21+SUM(E$17:E21)=D$10,F21,D$10-SUM(E$17:E21))</f>
        <v>0</v>
      </c>
      <c r="E22" s="69">
        <f t="shared" si="6"/>
        <v>0</v>
      </c>
      <c r="F22" s="68">
        <f t="shared" si="7"/>
        <v>0</v>
      </c>
      <c r="G22" s="70">
        <f t="shared" si="8"/>
        <v>0</v>
      </c>
      <c r="H22" s="52">
        <f t="shared" si="9"/>
        <v>0</v>
      </c>
      <c r="I22" s="65">
        <f t="shared" si="10"/>
        <v>0</v>
      </c>
      <c r="J22" s="473"/>
      <c r="K22" s="485"/>
      <c r="L22" s="476">
        <f t="shared" si="0"/>
        <v>0</v>
      </c>
      <c r="M22" s="485"/>
      <c r="N22" s="476">
        <f t="shared" si="1"/>
        <v>0</v>
      </c>
      <c r="O22" s="476">
        <f t="shared" si="2"/>
        <v>0</v>
      </c>
      <c r="P22" s="241"/>
    </row>
    <row r="23" spans="2:16">
      <c r="B23" s="160" t="str">
        <f t="shared" si="11"/>
        <v/>
      </c>
      <c r="C23" s="470">
        <f>IF(D11="","-",+C22+1)</f>
        <v>2028</v>
      </c>
      <c r="D23" s="71">
        <f>IF(F22+SUM(E$17:E22)=D$10,F22,D$10-SUM(E$17:E22))</f>
        <v>0</v>
      </c>
      <c r="E23" s="69">
        <f t="shared" si="6"/>
        <v>0</v>
      </c>
      <c r="F23" s="68">
        <f t="shared" si="7"/>
        <v>0</v>
      </c>
      <c r="G23" s="70">
        <f t="shared" si="8"/>
        <v>0</v>
      </c>
      <c r="H23" s="52">
        <f t="shared" si="9"/>
        <v>0</v>
      </c>
      <c r="I23" s="65">
        <f t="shared" si="10"/>
        <v>0</v>
      </c>
      <c r="J23" s="473"/>
      <c r="K23" s="485"/>
      <c r="L23" s="476">
        <f t="shared" si="0"/>
        <v>0</v>
      </c>
      <c r="M23" s="485"/>
      <c r="N23" s="476">
        <f t="shared" si="1"/>
        <v>0</v>
      </c>
      <c r="O23" s="476">
        <f t="shared" si="2"/>
        <v>0</v>
      </c>
      <c r="P23" s="241"/>
    </row>
    <row r="24" spans="2:16">
      <c r="B24" s="160" t="str">
        <f t="shared" si="11"/>
        <v/>
      </c>
      <c r="C24" s="470">
        <f>IF(D11="","-",+C23+1)</f>
        <v>2029</v>
      </c>
      <c r="D24" s="71">
        <f>IF(F23+SUM(E$17:E23)=D$10,F23,D$10-SUM(E$17:E23))</f>
        <v>0</v>
      </c>
      <c r="E24" s="69">
        <f t="shared" si="6"/>
        <v>0</v>
      </c>
      <c r="F24" s="68">
        <f t="shared" si="7"/>
        <v>0</v>
      </c>
      <c r="G24" s="70">
        <f t="shared" si="8"/>
        <v>0</v>
      </c>
      <c r="H24" s="52">
        <f t="shared" si="9"/>
        <v>0</v>
      </c>
      <c r="I24" s="65">
        <f t="shared" si="10"/>
        <v>0</v>
      </c>
      <c r="J24" s="473"/>
      <c r="K24" s="485"/>
      <c r="L24" s="476">
        <f t="shared" si="0"/>
        <v>0</v>
      </c>
      <c r="M24" s="485"/>
      <c r="N24" s="476">
        <f t="shared" si="1"/>
        <v>0</v>
      </c>
      <c r="O24" s="476">
        <f t="shared" si="2"/>
        <v>0</v>
      </c>
      <c r="P24" s="241"/>
    </row>
    <row r="25" spans="2:16">
      <c r="B25" s="160" t="str">
        <f t="shared" si="11"/>
        <v/>
      </c>
      <c r="C25" s="470">
        <f>IF(D11="","-",+C24+1)</f>
        <v>2030</v>
      </c>
      <c r="D25" s="71">
        <f>IF(F24+SUM(E$17:E24)=D$10,F24,D$10-SUM(E$17:E24))</f>
        <v>0</v>
      </c>
      <c r="E25" s="69">
        <f t="shared" si="6"/>
        <v>0</v>
      </c>
      <c r="F25" s="68">
        <f t="shared" si="7"/>
        <v>0</v>
      </c>
      <c r="G25" s="70">
        <f t="shared" si="8"/>
        <v>0</v>
      </c>
      <c r="H25" s="52">
        <f t="shared" si="9"/>
        <v>0</v>
      </c>
      <c r="I25" s="65">
        <f t="shared" si="10"/>
        <v>0</v>
      </c>
      <c r="J25" s="473"/>
      <c r="K25" s="485"/>
      <c r="L25" s="476">
        <f t="shared" si="0"/>
        <v>0</v>
      </c>
      <c r="M25" s="485"/>
      <c r="N25" s="476">
        <f t="shared" si="1"/>
        <v>0</v>
      </c>
      <c r="O25" s="476">
        <f t="shared" si="2"/>
        <v>0</v>
      </c>
      <c r="P25" s="241"/>
    </row>
    <row r="26" spans="2:16">
      <c r="B26" s="160" t="str">
        <f t="shared" si="11"/>
        <v/>
      </c>
      <c r="C26" s="470">
        <f>IF(D11="","-",+C25+1)</f>
        <v>2031</v>
      </c>
      <c r="D26" s="71">
        <f>IF(F25+SUM(E$17:E25)=D$10,F25,D$10-SUM(E$17:E25))</f>
        <v>0</v>
      </c>
      <c r="E26" s="69">
        <f t="shared" si="6"/>
        <v>0</v>
      </c>
      <c r="F26" s="68">
        <f t="shared" si="7"/>
        <v>0</v>
      </c>
      <c r="G26" s="70">
        <f t="shared" si="8"/>
        <v>0</v>
      </c>
      <c r="H26" s="52">
        <f t="shared" si="9"/>
        <v>0</v>
      </c>
      <c r="I26" s="65">
        <f t="shared" si="10"/>
        <v>0</v>
      </c>
      <c r="J26" s="473"/>
      <c r="K26" s="485"/>
      <c r="L26" s="476">
        <f t="shared" si="0"/>
        <v>0</v>
      </c>
      <c r="M26" s="485"/>
      <c r="N26" s="476">
        <f t="shared" si="1"/>
        <v>0</v>
      </c>
      <c r="O26" s="476">
        <f t="shared" si="2"/>
        <v>0</v>
      </c>
      <c r="P26" s="241"/>
    </row>
    <row r="27" spans="2:16">
      <c r="B27" s="160" t="str">
        <f t="shared" si="11"/>
        <v/>
      </c>
      <c r="C27" s="470">
        <f>IF(D11="","-",+C26+1)</f>
        <v>2032</v>
      </c>
      <c r="D27" s="71">
        <f>IF(F26+SUM(E$17:E26)=D$10,F26,D$10-SUM(E$17:E26))</f>
        <v>0</v>
      </c>
      <c r="E27" s="69">
        <f t="shared" si="6"/>
        <v>0</v>
      </c>
      <c r="F27" s="68">
        <f t="shared" si="7"/>
        <v>0</v>
      </c>
      <c r="G27" s="70">
        <f t="shared" si="8"/>
        <v>0</v>
      </c>
      <c r="H27" s="52">
        <f t="shared" si="9"/>
        <v>0</v>
      </c>
      <c r="I27" s="65">
        <f t="shared" si="10"/>
        <v>0</v>
      </c>
      <c r="J27" s="473"/>
      <c r="K27" s="485"/>
      <c r="L27" s="476">
        <f t="shared" si="0"/>
        <v>0</v>
      </c>
      <c r="M27" s="485"/>
      <c r="N27" s="476">
        <f t="shared" si="1"/>
        <v>0</v>
      </c>
      <c r="O27" s="476">
        <f t="shared" si="2"/>
        <v>0</v>
      </c>
      <c r="P27" s="241"/>
    </row>
    <row r="28" spans="2:16">
      <c r="B28" s="160" t="str">
        <f t="shared" si="11"/>
        <v/>
      </c>
      <c r="C28" s="470">
        <f>IF(D11="","-",+C27+1)</f>
        <v>2033</v>
      </c>
      <c r="D28" s="71">
        <f>IF(F27+SUM(E$17:E27)=D$10,F27,D$10-SUM(E$17:E27))</f>
        <v>0</v>
      </c>
      <c r="E28" s="69">
        <f t="shared" si="6"/>
        <v>0</v>
      </c>
      <c r="F28" s="68">
        <f t="shared" si="7"/>
        <v>0</v>
      </c>
      <c r="G28" s="70">
        <f t="shared" si="8"/>
        <v>0</v>
      </c>
      <c r="H28" s="52">
        <f t="shared" si="9"/>
        <v>0</v>
      </c>
      <c r="I28" s="65">
        <f t="shared" si="10"/>
        <v>0</v>
      </c>
      <c r="J28" s="473"/>
      <c r="K28" s="485"/>
      <c r="L28" s="476">
        <f t="shared" si="0"/>
        <v>0</v>
      </c>
      <c r="M28" s="485"/>
      <c r="N28" s="476">
        <f t="shared" si="1"/>
        <v>0</v>
      </c>
      <c r="O28" s="476">
        <f t="shared" si="2"/>
        <v>0</v>
      </c>
      <c r="P28" s="241"/>
    </row>
    <row r="29" spans="2:16">
      <c r="B29" s="160" t="str">
        <f t="shared" si="11"/>
        <v/>
      </c>
      <c r="C29" s="470">
        <f>IF(D11="","-",+C28+1)</f>
        <v>2034</v>
      </c>
      <c r="D29" s="71">
        <f>IF(F28+SUM(E$17:E28)=D$10,F28,D$10-SUM(E$17:E28))</f>
        <v>0</v>
      </c>
      <c r="E29" s="69">
        <f t="shared" si="6"/>
        <v>0</v>
      </c>
      <c r="F29" s="68">
        <f t="shared" si="7"/>
        <v>0</v>
      </c>
      <c r="G29" s="70">
        <f t="shared" si="8"/>
        <v>0</v>
      </c>
      <c r="H29" s="52">
        <f t="shared" si="9"/>
        <v>0</v>
      </c>
      <c r="I29" s="65">
        <f t="shared" si="10"/>
        <v>0</v>
      </c>
      <c r="J29" s="473"/>
      <c r="K29" s="485"/>
      <c r="L29" s="476">
        <f t="shared" si="0"/>
        <v>0</v>
      </c>
      <c r="M29" s="485"/>
      <c r="N29" s="476">
        <f t="shared" si="1"/>
        <v>0</v>
      </c>
      <c r="O29" s="476">
        <f t="shared" si="2"/>
        <v>0</v>
      </c>
      <c r="P29" s="241"/>
    </row>
    <row r="30" spans="2:16">
      <c r="B30" s="160" t="str">
        <f t="shared" si="11"/>
        <v/>
      </c>
      <c r="C30" s="470">
        <f>IF(D11="","-",+C29+1)</f>
        <v>2035</v>
      </c>
      <c r="D30" s="71">
        <f>IF(F29+SUM(E$17:E29)=D$10,F29,D$10-SUM(E$17:E29))</f>
        <v>0</v>
      </c>
      <c r="E30" s="69">
        <f t="shared" si="6"/>
        <v>0</v>
      </c>
      <c r="F30" s="68">
        <f t="shared" si="7"/>
        <v>0</v>
      </c>
      <c r="G30" s="70">
        <f t="shared" si="8"/>
        <v>0</v>
      </c>
      <c r="H30" s="52">
        <f t="shared" si="9"/>
        <v>0</v>
      </c>
      <c r="I30" s="65">
        <f t="shared" si="10"/>
        <v>0</v>
      </c>
      <c r="J30" s="473"/>
      <c r="K30" s="485"/>
      <c r="L30" s="476">
        <f t="shared" si="0"/>
        <v>0</v>
      </c>
      <c r="M30" s="485"/>
      <c r="N30" s="476">
        <f t="shared" si="1"/>
        <v>0</v>
      </c>
      <c r="O30" s="476">
        <f t="shared" si="2"/>
        <v>0</v>
      </c>
      <c r="P30" s="241"/>
    </row>
    <row r="31" spans="2:16">
      <c r="B31" s="160" t="str">
        <f t="shared" si="11"/>
        <v/>
      </c>
      <c r="C31" s="470">
        <f>IF(D11="","-",+C30+1)</f>
        <v>2036</v>
      </c>
      <c r="D31" s="71">
        <f>IF(F30+SUM(E$17:E30)=D$10,F30,D$10-SUM(E$17:E30))</f>
        <v>0</v>
      </c>
      <c r="E31" s="69">
        <f t="shared" si="6"/>
        <v>0</v>
      </c>
      <c r="F31" s="68">
        <f t="shared" si="7"/>
        <v>0</v>
      </c>
      <c r="G31" s="70">
        <f t="shared" si="8"/>
        <v>0</v>
      </c>
      <c r="H31" s="52">
        <f t="shared" si="9"/>
        <v>0</v>
      </c>
      <c r="I31" s="65">
        <f t="shared" si="10"/>
        <v>0</v>
      </c>
      <c r="J31" s="473"/>
      <c r="K31" s="485"/>
      <c r="L31" s="476">
        <f t="shared" si="0"/>
        <v>0</v>
      </c>
      <c r="M31" s="485"/>
      <c r="N31" s="476">
        <f t="shared" si="1"/>
        <v>0</v>
      </c>
      <c r="O31" s="476">
        <f t="shared" si="2"/>
        <v>0</v>
      </c>
      <c r="P31" s="241"/>
    </row>
    <row r="32" spans="2:16">
      <c r="B32" s="160" t="str">
        <f t="shared" si="11"/>
        <v/>
      </c>
      <c r="C32" s="470">
        <f>IF(D11="","-",+C31+1)</f>
        <v>2037</v>
      </c>
      <c r="D32" s="71">
        <f>IF(F31+SUM(E$17:E31)=D$10,F31,D$10-SUM(E$17:E31))</f>
        <v>0</v>
      </c>
      <c r="E32" s="69">
        <f t="shared" si="6"/>
        <v>0</v>
      </c>
      <c r="F32" s="68">
        <f t="shared" si="7"/>
        <v>0</v>
      </c>
      <c r="G32" s="70">
        <f t="shared" si="8"/>
        <v>0</v>
      </c>
      <c r="H32" s="52">
        <f t="shared" si="9"/>
        <v>0</v>
      </c>
      <c r="I32" s="65">
        <f t="shared" si="10"/>
        <v>0</v>
      </c>
      <c r="J32" s="473"/>
      <c r="K32" s="485"/>
      <c r="L32" s="476">
        <f t="shared" si="0"/>
        <v>0</v>
      </c>
      <c r="M32" s="485"/>
      <c r="N32" s="476">
        <f t="shared" si="1"/>
        <v>0</v>
      </c>
      <c r="O32" s="476">
        <f t="shared" si="2"/>
        <v>0</v>
      </c>
      <c r="P32" s="241"/>
    </row>
    <row r="33" spans="2:16">
      <c r="B33" s="160" t="str">
        <f t="shared" si="11"/>
        <v/>
      </c>
      <c r="C33" s="470">
        <f>IF(D11="","-",+C32+1)</f>
        <v>2038</v>
      </c>
      <c r="D33" s="71">
        <f>IF(F32+SUM(E$17:E32)=D$10,F32,D$10-SUM(E$17:E32))</f>
        <v>0</v>
      </c>
      <c r="E33" s="69">
        <f t="shared" si="6"/>
        <v>0</v>
      </c>
      <c r="F33" s="68">
        <f t="shared" si="7"/>
        <v>0</v>
      </c>
      <c r="G33" s="70">
        <f t="shared" si="8"/>
        <v>0</v>
      </c>
      <c r="H33" s="52">
        <f t="shared" si="9"/>
        <v>0</v>
      </c>
      <c r="I33" s="65">
        <f t="shared" si="10"/>
        <v>0</v>
      </c>
      <c r="J33" s="473"/>
      <c r="K33" s="485"/>
      <c r="L33" s="476">
        <f t="shared" si="0"/>
        <v>0</v>
      </c>
      <c r="M33" s="485"/>
      <c r="N33" s="476">
        <f t="shared" si="1"/>
        <v>0</v>
      </c>
      <c r="O33" s="476">
        <f t="shared" si="2"/>
        <v>0</v>
      </c>
      <c r="P33" s="241"/>
    </row>
    <row r="34" spans="2:16">
      <c r="B34" s="160" t="str">
        <f t="shared" si="11"/>
        <v/>
      </c>
      <c r="C34" s="470">
        <f>IF(D11="","-",+C33+1)</f>
        <v>2039</v>
      </c>
      <c r="D34" s="71">
        <f>IF(F33+SUM(E$17:E33)=D$10,F33,D$10-SUM(E$17:E33))</f>
        <v>0</v>
      </c>
      <c r="E34" s="69">
        <f t="shared" si="6"/>
        <v>0</v>
      </c>
      <c r="F34" s="68">
        <f t="shared" si="7"/>
        <v>0</v>
      </c>
      <c r="G34" s="70">
        <f t="shared" si="8"/>
        <v>0</v>
      </c>
      <c r="H34" s="52">
        <f t="shared" si="9"/>
        <v>0</v>
      </c>
      <c r="I34" s="65">
        <f t="shared" si="10"/>
        <v>0</v>
      </c>
      <c r="J34" s="473"/>
      <c r="K34" s="485"/>
      <c r="L34" s="476">
        <f t="shared" si="0"/>
        <v>0</v>
      </c>
      <c r="M34" s="485"/>
      <c r="N34" s="476">
        <f t="shared" si="1"/>
        <v>0</v>
      </c>
      <c r="O34" s="476">
        <f t="shared" si="2"/>
        <v>0</v>
      </c>
      <c r="P34" s="241"/>
    </row>
    <row r="35" spans="2:16">
      <c r="B35" s="160" t="str">
        <f t="shared" si="11"/>
        <v/>
      </c>
      <c r="C35" s="470">
        <f>IF(D11="","-",+C34+1)</f>
        <v>2040</v>
      </c>
      <c r="D35" s="71">
        <f>IF(F34+SUM(E$17:E34)=D$10,F34,D$10-SUM(E$17:E34))</f>
        <v>0</v>
      </c>
      <c r="E35" s="69">
        <f t="shared" si="6"/>
        <v>0</v>
      </c>
      <c r="F35" s="68">
        <f t="shared" si="7"/>
        <v>0</v>
      </c>
      <c r="G35" s="70">
        <f t="shared" si="8"/>
        <v>0</v>
      </c>
      <c r="H35" s="52">
        <f t="shared" si="9"/>
        <v>0</v>
      </c>
      <c r="I35" s="65">
        <f t="shared" si="10"/>
        <v>0</v>
      </c>
      <c r="J35" s="473"/>
      <c r="K35" s="485"/>
      <c r="L35" s="476">
        <f t="shared" si="0"/>
        <v>0</v>
      </c>
      <c r="M35" s="485"/>
      <c r="N35" s="476">
        <f t="shared" si="1"/>
        <v>0</v>
      </c>
      <c r="O35" s="476">
        <f t="shared" si="2"/>
        <v>0</v>
      </c>
      <c r="P35" s="241"/>
    </row>
    <row r="36" spans="2:16">
      <c r="B36" s="160" t="str">
        <f t="shared" si="11"/>
        <v/>
      </c>
      <c r="C36" s="470">
        <f>IF(D11="","-",+C35+1)</f>
        <v>2041</v>
      </c>
      <c r="D36" s="71">
        <f>IF(F35+SUM(E$17:E35)=D$10,F35,D$10-SUM(E$17:E35))</f>
        <v>0</v>
      </c>
      <c r="E36" s="69">
        <f t="shared" si="6"/>
        <v>0</v>
      </c>
      <c r="F36" s="68">
        <f t="shared" si="7"/>
        <v>0</v>
      </c>
      <c r="G36" s="70">
        <f t="shared" si="8"/>
        <v>0</v>
      </c>
      <c r="H36" s="52">
        <f t="shared" si="9"/>
        <v>0</v>
      </c>
      <c r="I36" s="65">
        <f t="shared" si="10"/>
        <v>0</v>
      </c>
      <c r="J36" s="473"/>
      <c r="K36" s="485"/>
      <c r="L36" s="476">
        <f t="shared" si="0"/>
        <v>0</v>
      </c>
      <c r="M36" s="485"/>
      <c r="N36" s="476">
        <f t="shared" si="1"/>
        <v>0</v>
      </c>
      <c r="O36" s="476">
        <f t="shared" si="2"/>
        <v>0</v>
      </c>
      <c r="P36" s="241"/>
    </row>
    <row r="37" spans="2:16">
      <c r="B37" s="160" t="str">
        <f t="shared" si="11"/>
        <v/>
      </c>
      <c r="C37" s="470">
        <f>IF(D11="","-",+C36+1)</f>
        <v>2042</v>
      </c>
      <c r="D37" s="71">
        <f>IF(F36+SUM(E$17:E36)=D$10,F36,D$10-SUM(E$17:E36))</f>
        <v>0</v>
      </c>
      <c r="E37" s="69">
        <f t="shared" si="6"/>
        <v>0</v>
      </c>
      <c r="F37" s="68">
        <f t="shared" si="7"/>
        <v>0</v>
      </c>
      <c r="G37" s="70">
        <f t="shared" si="8"/>
        <v>0</v>
      </c>
      <c r="H37" s="52">
        <f t="shared" si="9"/>
        <v>0</v>
      </c>
      <c r="I37" s="65">
        <f t="shared" si="10"/>
        <v>0</v>
      </c>
      <c r="J37" s="473"/>
      <c r="K37" s="485"/>
      <c r="L37" s="476">
        <f t="shared" si="0"/>
        <v>0</v>
      </c>
      <c r="M37" s="485"/>
      <c r="N37" s="476">
        <f t="shared" si="1"/>
        <v>0</v>
      </c>
      <c r="O37" s="476">
        <f t="shared" si="2"/>
        <v>0</v>
      </c>
      <c r="P37" s="241"/>
    </row>
    <row r="38" spans="2:16">
      <c r="B38" s="160" t="str">
        <f t="shared" si="11"/>
        <v/>
      </c>
      <c r="C38" s="470">
        <f>IF(D11="","-",+C37+1)</f>
        <v>2043</v>
      </c>
      <c r="D38" s="71">
        <f>IF(F37+SUM(E$17:E37)=D$10,F37,D$10-SUM(E$17:E37))</f>
        <v>0</v>
      </c>
      <c r="E38" s="69">
        <f t="shared" si="6"/>
        <v>0</v>
      </c>
      <c r="F38" s="68">
        <f t="shared" si="7"/>
        <v>0</v>
      </c>
      <c r="G38" s="70">
        <f t="shared" si="8"/>
        <v>0</v>
      </c>
      <c r="H38" s="52">
        <f t="shared" si="9"/>
        <v>0</v>
      </c>
      <c r="I38" s="65">
        <f t="shared" si="10"/>
        <v>0</v>
      </c>
      <c r="J38" s="473"/>
      <c r="K38" s="485"/>
      <c r="L38" s="476">
        <f t="shared" si="0"/>
        <v>0</v>
      </c>
      <c r="M38" s="485"/>
      <c r="N38" s="476">
        <f t="shared" si="1"/>
        <v>0</v>
      </c>
      <c r="O38" s="476">
        <f t="shared" si="2"/>
        <v>0</v>
      </c>
      <c r="P38" s="241"/>
    </row>
    <row r="39" spans="2:16">
      <c r="B39" s="160" t="str">
        <f t="shared" si="11"/>
        <v/>
      </c>
      <c r="C39" s="470">
        <f>IF(D11="","-",+C38+1)</f>
        <v>2044</v>
      </c>
      <c r="D39" s="71">
        <f>IF(F38+SUM(E$17:E38)=D$10,F38,D$10-SUM(E$17:E38))</f>
        <v>0</v>
      </c>
      <c r="E39" s="69">
        <f t="shared" si="6"/>
        <v>0</v>
      </c>
      <c r="F39" s="68">
        <f t="shared" si="7"/>
        <v>0</v>
      </c>
      <c r="G39" s="70">
        <f t="shared" si="8"/>
        <v>0</v>
      </c>
      <c r="H39" s="52">
        <f t="shared" si="9"/>
        <v>0</v>
      </c>
      <c r="I39" s="65">
        <f t="shared" si="10"/>
        <v>0</v>
      </c>
      <c r="J39" s="473"/>
      <c r="K39" s="485"/>
      <c r="L39" s="476">
        <f t="shared" si="0"/>
        <v>0</v>
      </c>
      <c r="M39" s="485"/>
      <c r="N39" s="476">
        <f t="shared" si="1"/>
        <v>0</v>
      </c>
      <c r="O39" s="476">
        <f t="shared" si="2"/>
        <v>0</v>
      </c>
      <c r="P39" s="241"/>
    </row>
    <row r="40" spans="2:16">
      <c r="B40" s="160" t="str">
        <f t="shared" si="11"/>
        <v/>
      </c>
      <c r="C40" s="470">
        <f>IF(D11="","-",+C39+1)</f>
        <v>2045</v>
      </c>
      <c r="D40" s="71">
        <f>IF(F39+SUM(E$17:E39)=D$10,F39,D$10-SUM(E$17:E39))</f>
        <v>0</v>
      </c>
      <c r="E40" s="69">
        <f t="shared" si="6"/>
        <v>0</v>
      </c>
      <c r="F40" s="68">
        <f t="shared" si="7"/>
        <v>0</v>
      </c>
      <c r="G40" s="70">
        <f t="shared" si="8"/>
        <v>0</v>
      </c>
      <c r="H40" s="52">
        <f t="shared" si="9"/>
        <v>0</v>
      </c>
      <c r="I40" s="65">
        <f t="shared" si="10"/>
        <v>0</v>
      </c>
      <c r="J40" s="473"/>
      <c r="K40" s="485"/>
      <c r="L40" s="476">
        <f t="shared" si="0"/>
        <v>0</v>
      </c>
      <c r="M40" s="485"/>
      <c r="N40" s="476">
        <f t="shared" si="1"/>
        <v>0</v>
      </c>
      <c r="O40" s="476">
        <f t="shared" si="2"/>
        <v>0</v>
      </c>
      <c r="P40" s="241"/>
    </row>
    <row r="41" spans="2:16">
      <c r="B41" s="160" t="str">
        <f t="shared" si="11"/>
        <v/>
      </c>
      <c r="C41" s="470">
        <f>IF(D11="","-",+C40+1)</f>
        <v>2046</v>
      </c>
      <c r="D41" s="71">
        <f>IF(F40+SUM(E$17:E40)=D$10,F40,D$10-SUM(E$17:E40))</f>
        <v>0</v>
      </c>
      <c r="E41" s="69">
        <f t="shared" si="6"/>
        <v>0</v>
      </c>
      <c r="F41" s="68">
        <f t="shared" si="7"/>
        <v>0</v>
      </c>
      <c r="G41" s="70">
        <f t="shared" si="8"/>
        <v>0</v>
      </c>
      <c r="H41" s="52">
        <f t="shared" si="9"/>
        <v>0</v>
      </c>
      <c r="I41" s="65">
        <f t="shared" si="10"/>
        <v>0</v>
      </c>
      <c r="J41" s="473"/>
      <c r="K41" s="485"/>
      <c r="L41" s="476">
        <f t="shared" si="0"/>
        <v>0</v>
      </c>
      <c r="M41" s="485"/>
      <c r="N41" s="476">
        <f t="shared" si="1"/>
        <v>0</v>
      </c>
      <c r="O41" s="476">
        <f t="shared" si="2"/>
        <v>0</v>
      </c>
      <c r="P41" s="241"/>
    </row>
    <row r="42" spans="2:16">
      <c r="B42" s="160" t="str">
        <f t="shared" si="11"/>
        <v/>
      </c>
      <c r="C42" s="470">
        <f>IF(D11="","-",+C41+1)</f>
        <v>2047</v>
      </c>
      <c r="D42" s="71">
        <f>IF(F41+SUM(E$17:E41)=D$10,F41,D$10-SUM(E$17:E41))</f>
        <v>0</v>
      </c>
      <c r="E42" s="69">
        <f t="shared" si="6"/>
        <v>0</v>
      </c>
      <c r="F42" s="68">
        <f t="shared" si="7"/>
        <v>0</v>
      </c>
      <c r="G42" s="70">
        <f t="shared" si="8"/>
        <v>0</v>
      </c>
      <c r="H42" s="52">
        <f t="shared" si="9"/>
        <v>0</v>
      </c>
      <c r="I42" s="65">
        <f t="shared" si="10"/>
        <v>0</v>
      </c>
      <c r="J42" s="473"/>
      <c r="K42" s="485"/>
      <c r="L42" s="476">
        <f t="shared" si="0"/>
        <v>0</v>
      </c>
      <c r="M42" s="485"/>
      <c r="N42" s="476">
        <f t="shared" si="1"/>
        <v>0</v>
      </c>
      <c r="O42" s="476">
        <f t="shared" si="2"/>
        <v>0</v>
      </c>
      <c r="P42" s="241"/>
    </row>
    <row r="43" spans="2:16">
      <c r="B43" s="160" t="str">
        <f t="shared" si="11"/>
        <v/>
      </c>
      <c r="C43" s="470">
        <f>IF(D11="","-",+C42+1)</f>
        <v>2048</v>
      </c>
      <c r="D43" s="71">
        <f>IF(F42+SUM(E$17:E42)=D$10,F42,D$10-SUM(E$17:E42))</f>
        <v>0</v>
      </c>
      <c r="E43" s="69">
        <f t="shared" si="6"/>
        <v>0</v>
      </c>
      <c r="F43" s="68">
        <f t="shared" si="7"/>
        <v>0</v>
      </c>
      <c r="G43" s="70">
        <f t="shared" si="8"/>
        <v>0</v>
      </c>
      <c r="H43" s="52">
        <f t="shared" si="9"/>
        <v>0</v>
      </c>
      <c r="I43" s="65">
        <f t="shared" si="10"/>
        <v>0</v>
      </c>
      <c r="J43" s="473"/>
      <c r="K43" s="485"/>
      <c r="L43" s="476">
        <f t="shared" si="0"/>
        <v>0</v>
      </c>
      <c r="M43" s="485"/>
      <c r="N43" s="476">
        <f t="shared" si="1"/>
        <v>0</v>
      </c>
      <c r="O43" s="476">
        <f t="shared" si="2"/>
        <v>0</v>
      </c>
      <c r="P43" s="241"/>
    </row>
    <row r="44" spans="2:16">
      <c r="B44" s="160" t="str">
        <f t="shared" si="11"/>
        <v/>
      </c>
      <c r="C44" s="470">
        <f>IF(D11="","-",+C43+1)</f>
        <v>2049</v>
      </c>
      <c r="D44" s="71">
        <f>IF(F43+SUM(E$17:E43)=D$10,F43,D$10-SUM(E$17:E43))</f>
        <v>0</v>
      </c>
      <c r="E44" s="69">
        <f t="shared" si="6"/>
        <v>0</v>
      </c>
      <c r="F44" s="68">
        <f t="shared" si="7"/>
        <v>0</v>
      </c>
      <c r="G44" s="70">
        <f t="shared" si="8"/>
        <v>0</v>
      </c>
      <c r="H44" s="52">
        <f t="shared" si="9"/>
        <v>0</v>
      </c>
      <c r="I44" s="65">
        <f t="shared" si="10"/>
        <v>0</v>
      </c>
      <c r="J44" s="473"/>
      <c r="K44" s="485"/>
      <c r="L44" s="476">
        <f t="shared" si="0"/>
        <v>0</v>
      </c>
      <c r="M44" s="485"/>
      <c r="N44" s="476">
        <f t="shared" si="1"/>
        <v>0</v>
      </c>
      <c r="O44" s="476">
        <f t="shared" si="2"/>
        <v>0</v>
      </c>
      <c r="P44" s="241"/>
    </row>
    <row r="45" spans="2:16">
      <c r="B45" s="160" t="str">
        <f t="shared" si="11"/>
        <v/>
      </c>
      <c r="C45" s="470">
        <f>IF(D11="","-",+C44+1)</f>
        <v>2050</v>
      </c>
      <c r="D45" s="71">
        <f>IF(F44+SUM(E$17:E44)=D$10,F44,D$10-SUM(E$17:E44))</f>
        <v>0</v>
      </c>
      <c r="E45" s="69">
        <f t="shared" si="6"/>
        <v>0</v>
      </c>
      <c r="F45" s="68">
        <f t="shared" si="7"/>
        <v>0</v>
      </c>
      <c r="G45" s="70">
        <f t="shared" si="8"/>
        <v>0</v>
      </c>
      <c r="H45" s="52">
        <f t="shared" si="9"/>
        <v>0</v>
      </c>
      <c r="I45" s="65">
        <f t="shared" si="10"/>
        <v>0</v>
      </c>
      <c r="J45" s="473"/>
      <c r="K45" s="485"/>
      <c r="L45" s="476">
        <f t="shared" si="0"/>
        <v>0</v>
      </c>
      <c r="M45" s="485"/>
      <c r="N45" s="476">
        <f t="shared" si="1"/>
        <v>0</v>
      </c>
      <c r="O45" s="476">
        <f t="shared" si="2"/>
        <v>0</v>
      </c>
      <c r="P45" s="241"/>
    </row>
    <row r="46" spans="2:16">
      <c r="B46" s="160" t="str">
        <f t="shared" si="11"/>
        <v/>
      </c>
      <c r="C46" s="470">
        <f>IF(D11="","-",+C45+1)</f>
        <v>2051</v>
      </c>
      <c r="D46" s="71">
        <f>IF(F45+SUM(E$17:E45)=D$10,F45,D$10-SUM(E$17:E45))</f>
        <v>0</v>
      </c>
      <c r="E46" s="69">
        <f t="shared" si="6"/>
        <v>0</v>
      </c>
      <c r="F46" s="68">
        <f t="shared" si="7"/>
        <v>0</v>
      </c>
      <c r="G46" s="70">
        <f t="shared" si="8"/>
        <v>0</v>
      </c>
      <c r="H46" s="52">
        <f t="shared" si="9"/>
        <v>0</v>
      </c>
      <c r="I46" s="65">
        <f t="shared" si="10"/>
        <v>0</v>
      </c>
      <c r="J46" s="473"/>
      <c r="K46" s="485"/>
      <c r="L46" s="476">
        <f t="shared" si="0"/>
        <v>0</v>
      </c>
      <c r="M46" s="485"/>
      <c r="N46" s="476">
        <f t="shared" si="1"/>
        <v>0</v>
      </c>
      <c r="O46" s="476">
        <f t="shared" si="2"/>
        <v>0</v>
      </c>
      <c r="P46" s="241"/>
    </row>
    <row r="47" spans="2:16">
      <c r="B47" s="160" t="str">
        <f t="shared" si="11"/>
        <v/>
      </c>
      <c r="C47" s="470">
        <f>IF(D11="","-",+C46+1)</f>
        <v>2052</v>
      </c>
      <c r="D47" s="71">
        <f>IF(F46+SUM(E$17:E46)=D$10,F46,D$10-SUM(E$17:E46))</f>
        <v>0</v>
      </c>
      <c r="E47" s="69">
        <f t="shared" si="6"/>
        <v>0</v>
      </c>
      <c r="F47" s="68">
        <f t="shared" si="7"/>
        <v>0</v>
      </c>
      <c r="G47" s="70">
        <f t="shared" si="8"/>
        <v>0</v>
      </c>
      <c r="H47" s="52">
        <f t="shared" si="9"/>
        <v>0</v>
      </c>
      <c r="I47" s="65">
        <f t="shared" si="10"/>
        <v>0</v>
      </c>
      <c r="J47" s="473"/>
      <c r="K47" s="485"/>
      <c r="L47" s="476">
        <f t="shared" si="0"/>
        <v>0</v>
      </c>
      <c r="M47" s="485"/>
      <c r="N47" s="476">
        <f t="shared" si="1"/>
        <v>0</v>
      </c>
      <c r="O47" s="476">
        <f t="shared" si="2"/>
        <v>0</v>
      </c>
      <c r="P47" s="241"/>
    </row>
    <row r="48" spans="2:16">
      <c r="B48" s="160" t="str">
        <f t="shared" si="11"/>
        <v/>
      </c>
      <c r="C48" s="470">
        <f>IF(D11="","-",+C47+1)</f>
        <v>2053</v>
      </c>
      <c r="D48" s="71">
        <f>IF(F47+SUM(E$17:E47)=D$10,F47,D$10-SUM(E$17:E47))</f>
        <v>0</v>
      </c>
      <c r="E48" s="69">
        <f t="shared" si="6"/>
        <v>0</v>
      </c>
      <c r="F48" s="68">
        <f t="shared" si="7"/>
        <v>0</v>
      </c>
      <c r="G48" s="70">
        <f t="shared" si="8"/>
        <v>0</v>
      </c>
      <c r="H48" s="52">
        <f t="shared" si="9"/>
        <v>0</v>
      </c>
      <c r="I48" s="65">
        <f t="shared" si="10"/>
        <v>0</v>
      </c>
      <c r="J48" s="473"/>
      <c r="K48" s="485"/>
      <c r="L48" s="476">
        <f t="shared" si="0"/>
        <v>0</v>
      </c>
      <c r="M48" s="485"/>
      <c r="N48" s="476">
        <f t="shared" si="1"/>
        <v>0</v>
      </c>
      <c r="O48" s="476">
        <f t="shared" si="2"/>
        <v>0</v>
      </c>
      <c r="P48" s="241"/>
    </row>
    <row r="49" spans="2:16">
      <c r="B49" s="160" t="str">
        <f t="shared" si="11"/>
        <v/>
      </c>
      <c r="C49" s="470">
        <f>IF(D11="","-",+C48+1)</f>
        <v>2054</v>
      </c>
      <c r="D49" s="71">
        <f>IF(F48+SUM(E$17:E48)=D$10,F48,D$10-SUM(E$17:E48))</f>
        <v>0</v>
      </c>
      <c r="E49" s="69">
        <f t="shared" si="6"/>
        <v>0</v>
      </c>
      <c r="F49" s="68">
        <f t="shared" si="7"/>
        <v>0</v>
      </c>
      <c r="G49" s="70">
        <f t="shared" si="8"/>
        <v>0</v>
      </c>
      <c r="H49" s="52">
        <f t="shared" si="9"/>
        <v>0</v>
      </c>
      <c r="I49" s="65">
        <f t="shared" si="10"/>
        <v>0</v>
      </c>
      <c r="J49" s="473"/>
      <c r="K49" s="485"/>
      <c r="L49" s="476">
        <f t="shared" si="0"/>
        <v>0</v>
      </c>
      <c r="M49" s="485"/>
      <c r="N49" s="476">
        <f t="shared" si="1"/>
        <v>0</v>
      </c>
      <c r="O49" s="476">
        <f t="shared" si="2"/>
        <v>0</v>
      </c>
      <c r="P49" s="241"/>
    </row>
    <row r="50" spans="2:16">
      <c r="B50" s="160" t="str">
        <f t="shared" si="11"/>
        <v/>
      </c>
      <c r="C50" s="470">
        <f>IF(D11="","-",+C49+1)</f>
        <v>2055</v>
      </c>
      <c r="D50" s="71">
        <f>IF(F49+SUM(E$17:E49)=D$10,F49,D$10-SUM(E$17:E49))</f>
        <v>0</v>
      </c>
      <c r="E50" s="69">
        <f t="shared" si="6"/>
        <v>0</v>
      </c>
      <c r="F50" s="68">
        <f t="shared" si="7"/>
        <v>0</v>
      </c>
      <c r="G50" s="70">
        <f t="shared" si="8"/>
        <v>0</v>
      </c>
      <c r="H50" s="52">
        <f t="shared" si="9"/>
        <v>0</v>
      </c>
      <c r="I50" s="65">
        <f t="shared" si="10"/>
        <v>0</v>
      </c>
      <c r="J50" s="473"/>
      <c r="K50" s="485"/>
      <c r="L50" s="476">
        <f t="shared" si="0"/>
        <v>0</v>
      </c>
      <c r="M50" s="485"/>
      <c r="N50" s="476">
        <f t="shared" si="1"/>
        <v>0</v>
      </c>
      <c r="O50" s="476">
        <f t="shared" si="2"/>
        <v>0</v>
      </c>
      <c r="P50" s="241"/>
    </row>
    <row r="51" spans="2:16">
      <c r="B51" s="160" t="str">
        <f t="shared" si="11"/>
        <v/>
      </c>
      <c r="C51" s="470">
        <f>IF(D11="","-",+C50+1)</f>
        <v>2056</v>
      </c>
      <c r="D51" s="71">
        <f>IF(F50+SUM(E$17:E50)=D$10,F50,D$10-SUM(E$17:E50))</f>
        <v>0</v>
      </c>
      <c r="E51" s="69">
        <f t="shared" si="6"/>
        <v>0</v>
      </c>
      <c r="F51" s="68">
        <f t="shared" si="7"/>
        <v>0</v>
      </c>
      <c r="G51" s="70">
        <f t="shared" si="8"/>
        <v>0</v>
      </c>
      <c r="H51" s="52">
        <f t="shared" si="9"/>
        <v>0</v>
      </c>
      <c r="I51" s="65">
        <f t="shared" si="10"/>
        <v>0</v>
      </c>
      <c r="J51" s="473"/>
      <c r="K51" s="485"/>
      <c r="L51" s="476">
        <f t="shared" si="0"/>
        <v>0</v>
      </c>
      <c r="M51" s="485"/>
      <c r="N51" s="476">
        <f t="shared" si="1"/>
        <v>0</v>
      </c>
      <c r="O51" s="476">
        <f t="shared" si="2"/>
        <v>0</v>
      </c>
      <c r="P51" s="241"/>
    </row>
    <row r="52" spans="2:16">
      <c r="B52" s="160" t="str">
        <f t="shared" si="11"/>
        <v/>
      </c>
      <c r="C52" s="470">
        <f>IF(D11="","-",+C51+1)</f>
        <v>2057</v>
      </c>
      <c r="D52" s="71">
        <f>IF(F51+SUM(E$17:E51)=D$10,F51,D$10-SUM(E$17:E51))</f>
        <v>0</v>
      </c>
      <c r="E52" s="69">
        <f t="shared" si="6"/>
        <v>0</v>
      </c>
      <c r="F52" s="68">
        <f t="shared" si="7"/>
        <v>0</v>
      </c>
      <c r="G52" s="70">
        <f t="shared" si="8"/>
        <v>0</v>
      </c>
      <c r="H52" s="52">
        <f t="shared" si="9"/>
        <v>0</v>
      </c>
      <c r="I52" s="65">
        <f t="shared" si="10"/>
        <v>0</v>
      </c>
      <c r="J52" s="473"/>
      <c r="K52" s="485"/>
      <c r="L52" s="476">
        <f t="shared" si="0"/>
        <v>0</v>
      </c>
      <c r="M52" s="485"/>
      <c r="N52" s="476">
        <f t="shared" si="1"/>
        <v>0</v>
      </c>
      <c r="O52" s="476">
        <f t="shared" si="2"/>
        <v>0</v>
      </c>
      <c r="P52" s="241"/>
    </row>
    <row r="53" spans="2:16">
      <c r="B53" s="160" t="str">
        <f t="shared" si="11"/>
        <v/>
      </c>
      <c r="C53" s="470">
        <f>IF(D11="","-",+C52+1)</f>
        <v>2058</v>
      </c>
      <c r="D53" s="71">
        <f>IF(F52+SUM(E$17:E52)=D$10,F52,D$10-SUM(E$17:E52))</f>
        <v>0</v>
      </c>
      <c r="E53" s="69">
        <f t="shared" si="6"/>
        <v>0</v>
      </c>
      <c r="F53" s="68">
        <f t="shared" si="7"/>
        <v>0</v>
      </c>
      <c r="G53" s="70">
        <f t="shared" si="8"/>
        <v>0</v>
      </c>
      <c r="H53" s="52">
        <f t="shared" si="9"/>
        <v>0</v>
      </c>
      <c r="I53" s="65">
        <f t="shared" si="10"/>
        <v>0</v>
      </c>
      <c r="J53" s="473"/>
      <c r="K53" s="485"/>
      <c r="L53" s="476">
        <f t="shared" si="0"/>
        <v>0</v>
      </c>
      <c r="M53" s="485"/>
      <c r="N53" s="476">
        <f t="shared" si="1"/>
        <v>0</v>
      </c>
      <c r="O53" s="476">
        <f t="shared" si="2"/>
        <v>0</v>
      </c>
      <c r="P53" s="241"/>
    </row>
    <row r="54" spans="2:16">
      <c r="B54" s="160" t="str">
        <f t="shared" si="11"/>
        <v/>
      </c>
      <c r="C54" s="470">
        <f>IF(D11="","-",+C53+1)</f>
        <v>2059</v>
      </c>
      <c r="D54" s="71">
        <f>IF(F53+SUM(E$17:E53)=D$10,F53,D$10-SUM(E$17:E53))</f>
        <v>0</v>
      </c>
      <c r="E54" s="69">
        <f t="shared" si="6"/>
        <v>0</v>
      </c>
      <c r="F54" s="68">
        <f t="shared" si="7"/>
        <v>0</v>
      </c>
      <c r="G54" s="70">
        <f t="shared" si="8"/>
        <v>0</v>
      </c>
      <c r="H54" s="52">
        <f t="shared" si="9"/>
        <v>0</v>
      </c>
      <c r="I54" s="65">
        <f t="shared" si="10"/>
        <v>0</v>
      </c>
      <c r="J54" s="473"/>
      <c r="K54" s="485"/>
      <c r="L54" s="476">
        <f t="shared" si="0"/>
        <v>0</v>
      </c>
      <c r="M54" s="485"/>
      <c r="N54" s="476">
        <f t="shared" si="1"/>
        <v>0</v>
      </c>
      <c r="O54" s="476">
        <f t="shared" si="2"/>
        <v>0</v>
      </c>
      <c r="P54" s="241"/>
    </row>
    <row r="55" spans="2:16">
      <c r="B55" s="160" t="str">
        <f t="shared" si="11"/>
        <v/>
      </c>
      <c r="C55" s="470">
        <f>IF(D11="","-",+C54+1)</f>
        <v>2060</v>
      </c>
      <c r="D55" s="71">
        <f>IF(F54+SUM(E$17:E54)=D$10,F54,D$10-SUM(E$17:E54))</f>
        <v>0</v>
      </c>
      <c r="E55" s="69">
        <f t="shared" si="6"/>
        <v>0</v>
      </c>
      <c r="F55" s="68">
        <f t="shared" si="7"/>
        <v>0</v>
      </c>
      <c r="G55" s="70">
        <f t="shared" si="8"/>
        <v>0</v>
      </c>
      <c r="H55" s="52">
        <f t="shared" si="9"/>
        <v>0</v>
      </c>
      <c r="I55" s="65">
        <f t="shared" si="10"/>
        <v>0</v>
      </c>
      <c r="J55" s="473"/>
      <c r="K55" s="485"/>
      <c r="L55" s="476">
        <f t="shared" si="0"/>
        <v>0</v>
      </c>
      <c r="M55" s="485"/>
      <c r="N55" s="476">
        <f t="shared" si="1"/>
        <v>0</v>
      </c>
      <c r="O55" s="476">
        <f t="shared" si="2"/>
        <v>0</v>
      </c>
      <c r="P55" s="241"/>
    </row>
    <row r="56" spans="2:16">
      <c r="B56" s="160" t="str">
        <f t="shared" si="11"/>
        <v/>
      </c>
      <c r="C56" s="470">
        <f>IF(D11="","-",+C55+1)</f>
        <v>2061</v>
      </c>
      <c r="D56" s="71">
        <f>IF(F55+SUM(E$17:E55)=D$10,F55,D$10-SUM(E$17:E55))</f>
        <v>0</v>
      </c>
      <c r="E56" s="69">
        <f t="shared" si="6"/>
        <v>0</v>
      </c>
      <c r="F56" s="68">
        <f t="shared" si="7"/>
        <v>0</v>
      </c>
      <c r="G56" s="70">
        <f t="shared" si="8"/>
        <v>0</v>
      </c>
      <c r="H56" s="52">
        <f t="shared" si="9"/>
        <v>0</v>
      </c>
      <c r="I56" s="65">
        <f t="shared" si="10"/>
        <v>0</v>
      </c>
      <c r="J56" s="473"/>
      <c r="K56" s="485"/>
      <c r="L56" s="476">
        <f t="shared" si="0"/>
        <v>0</v>
      </c>
      <c r="M56" s="485"/>
      <c r="N56" s="476">
        <f t="shared" si="1"/>
        <v>0</v>
      </c>
      <c r="O56" s="476">
        <f t="shared" si="2"/>
        <v>0</v>
      </c>
      <c r="P56" s="241"/>
    </row>
    <row r="57" spans="2:16">
      <c r="B57" s="160" t="str">
        <f t="shared" si="11"/>
        <v/>
      </c>
      <c r="C57" s="470">
        <f>IF(D11="","-",+C56+1)</f>
        <v>2062</v>
      </c>
      <c r="D57" s="71">
        <f>IF(F56+SUM(E$17:E56)=D$10,F56,D$10-SUM(E$17:E56))</f>
        <v>0</v>
      </c>
      <c r="E57" s="69">
        <f t="shared" si="6"/>
        <v>0</v>
      </c>
      <c r="F57" s="68">
        <f t="shared" si="7"/>
        <v>0</v>
      </c>
      <c r="G57" s="70">
        <f t="shared" si="8"/>
        <v>0</v>
      </c>
      <c r="H57" s="52">
        <f t="shared" si="9"/>
        <v>0</v>
      </c>
      <c r="I57" s="65">
        <f t="shared" si="10"/>
        <v>0</v>
      </c>
      <c r="J57" s="473"/>
      <c r="K57" s="485"/>
      <c r="L57" s="476">
        <f t="shared" si="0"/>
        <v>0</v>
      </c>
      <c r="M57" s="485"/>
      <c r="N57" s="476">
        <f t="shared" si="1"/>
        <v>0</v>
      </c>
      <c r="O57" s="476">
        <f t="shared" si="2"/>
        <v>0</v>
      </c>
      <c r="P57" s="241"/>
    </row>
    <row r="58" spans="2:16">
      <c r="B58" s="160" t="str">
        <f t="shared" si="11"/>
        <v/>
      </c>
      <c r="C58" s="470">
        <f>IF(D11="","-",+C57+1)</f>
        <v>2063</v>
      </c>
      <c r="D58" s="71">
        <f>IF(F57+SUM(E$17:E57)=D$10,F57,D$10-SUM(E$17:E57))</f>
        <v>0</v>
      </c>
      <c r="E58" s="69">
        <f t="shared" si="6"/>
        <v>0</v>
      </c>
      <c r="F58" s="68">
        <f t="shared" si="7"/>
        <v>0</v>
      </c>
      <c r="G58" s="70">
        <f t="shared" si="8"/>
        <v>0</v>
      </c>
      <c r="H58" s="52">
        <f t="shared" si="9"/>
        <v>0</v>
      </c>
      <c r="I58" s="65">
        <f t="shared" si="10"/>
        <v>0</v>
      </c>
      <c r="J58" s="473"/>
      <c r="K58" s="485"/>
      <c r="L58" s="476">
        <f t="shared" si="0"/>
        <v>0</v>
      </c>
      <c r="M58" s="485"/>
      <c r="N58" s="476">
        <f t="shared" si="1"/>
        <v>0</v>
      </c>
      <c r="O58" s="476">
        <f t="shared" si="2"/>
        <v>0</v>
      </c>
      <c r="P58" s="241"/>
    </row>
    <row r="59" spans="2:16">
      <c r="B59" s="160" t="str">
        <f t="shared" si="11"/>
        <v/>
      </c>
      <c r="C59" s="470">
        <f>IF(D11="","-",+C58+1)</f>
        <v>2064</v>
      </c>
      <c r="D59" s="71">
        <f>IF(F58+SUM(E$17:E58)=D$10,F58,D$10-SUM(E$17:E58))</f>
        <v>0</v>
      </c>
      <c r="E59" s="69">
        <f t="shared" si="6"/>
        <v>0</v>
      </c>
      <c r="F59" s="68">
        <f t="shared" si="7"/>
        <v>0</v>
      </c>
      <c r="G59" s="70">
        <f t="shared" si="8"/>
        <v>0</v>
      </c>
      <c r="H59" s="52">
        <f t="shared" si="9"/>
        <v>0</v>
      </c>
      <c r="I59" s="65">
        <f t="shared" si="10"/>
        <v>0</v>
      </c>
      <c r="J59" s="473"/>
      <c r="K59" s="485"/>
      <c r="L59" s="476">
        <f t="shared" si="0"/>
        <v>0</v>
      </c>
      <c r="M59" s="485"/>
      <c r="N59" s="476">
        <f t="shared" si="1"/>
        <v>0</v>
      </c>
      <c r="O59" s="476">
        <f t="shared" si="2"/>
        <v>0</v>
      </c>
      <c r="P59" s="241"/>
    </row>
    <row r="60" spans="2:16">
      <c r="B60" s="160" t="str">
        <f t="shared" si="11"/>
        <v/>
      </c>
      <c r="C60" s="470">
        <f>IF(D11="","-",+C59+1)</f>
        <v>2065</v>
      </c>
      <c r="D60" s="71">
        <f>IF(F59+SUM(E$17:E59)=D$10,F59,D$10-SUM(E$17:E59))</f>
        <v>0</v>
      </c>
      <c r="E60" s="69">
        <f t="shared" si="6"/>
        <v>0</v>
      </c>
      <c r="F60" s="68">
        <f t="shared" si="7"/>
        <v>0</v>
      </c>
      <c r="G60" s="70">
        <f t="shared" si="8"/>
        <v>0</v>
      </c>
      <c r="H60" s="52">
        <f t="shared" si="9"/>
        <v>0</v>
      </c>
      <c r="I60" s="65">
        <f t="shared" si="10"/>
        <v>0</v>
      </c>
      <c r="J60" s="473"/>
      <c r="K60" s="485"/>
      <c r="L60" s="476">
        <f t="shared" si="0"/>
        <v>0</v>
      </c>
      <c r="M60" s="485"/>
      <c r="N60" s="476">
        <f t="shared" si="1"/>
        <v>0</v>
      </c>
      <c r="O60" s="476">
        <f t="shared" si="2"/>
        <v>0</v>
      </c>
      <c r="P60" s="241"/>
    </row>
    <row r="61" spans="2:16">
      <c r="B61" s="160" t="str">
        <f t="shared" si="11"/>
        <v/>
      </c>
      <c r="C61" s="470">
        <f>IF(D11="","-",+C60+1)</f>
        <v>2066</v>
      </c>
      <c r="D61" s="71">
        <f>IF(F60+SUM(E$17:E60)=D$10,F60,D$10-SUM(E$17:E60))</f>
        <v>0</v>
      </c>
      <c r="E61" s="69">
        <f t="shared" si="6"/>
        <v>0</v>
      </c>
      <c r="F61" s="68">
        <f t="shared" si="7"/>
        <v>0</v>
      </c>
      <c r="G61" s="70">
        <f t="shared" si="8"/>
        <v>0</v>
      </c>
      <c r="H61" s="52">
        <f t="shared" si="9"/>
        <v>0</v>
      </c>
      <c r="I61" s="65">
        <f t="shared" si="10"/>
        <v>0</v>
      </c>
      <c r="J61" s="473"/>
      <c r="K61" s="485"/>
      <c r="L61" s="476">
        <f t="shared" si="0"/>
        <v>0</v>
      </c>
      <c r="M61" s="485"/>
      <c r="N61" s="476">
        <f t="shared" si="1"/>
        <v>0</v>
      </c>
      <c r="O61" s="476">
        <f t="shared" si="2"/>
        <v>0</v>
      </c>
      <c r="P61" s="241"/>
    </row>
    <row r="62" spans="2:16">
      <c r="B62" s="160" t="str">
        <f t="shared" si="11"/>
        <v/>
      </c>
      <c r="C62" s="470">
        <f>IF(D11="","-",+C61+1)</f>
        <v>2067</v>
      </c>
      <c r="D62" s="71">
        <f>IF(F61+SUM(E$17:E61)=D$10,F61,D$10-SUM(E$17:E61))</f>
        <v>0</v>
      </c>
      <c r="E62" s="69">
        <f t="shared" si="6"/>
        <v>0</v>
      </c>
      <c r="F62" s="68">
        <f t="shared" si="7"/>
        <v>0</v>
      </c>
      <c r="G62" s="70">
        <f t="shared" si="8"/>
        <v>0</v>
      </c>
      <c r="H62" s="52">
        <f t="shared" si="9"/>
        <v>0</v>
      </c>
      <c r="I62" s="65">
        <f t="shared" si="10"/>
        <v>0</v>
      </c>
      <c r="J62" s="473"/>
      <c r="K62" s="485"/>
      <c r="L62" s="476">
        <f t="shared" si="0"/>
        <v>0</v>
      </c>
      <c r="M62" s="485"/>
      <c r="N62" s="476">
        <f t="shared" si="1"/>
        <v>0</v>
      </c>
      <c r="O62" s="476">
        <f t="shared" si="2"/>
        <v>0</v>
      </c>
      <c r="P62" s="241"/>
    </row>
    <row r="63" spans="2:16">
      <c r="B63" s="160" t="str">
        <f t="shared" si="11"/>
        <v/>
      </c>
      <c r="C63" s="470">
        <f>IF(D11="","-",+C62+1)</f>
        <v>2068</v>
      </c>
      <c r="D63" s="71">
        <f>IF(F62+SUM(E$17:E62)=D$10,F62,D$10-SUM(E$17:E62))</f>
        <v>0</v>
      </c>
      <c r="E63" s="69">
        <f t="shared" si="6"/>
        <v>0</v>
      </c>
      <c r="F63" s="68">
        <f t="shared" si="7"/>
        <v>0</v>
      </c>
      <c r="G63" s="70">
        <f t="shared" si="8"/>
        <v>0</v>
      </c>
      <c r="H63" s="52">
        <f t="shared" si="9"/>
        <v>0</v>
      </c>
      <c r="I63" s="65">
        <f t="shared" si="10"/>
        <v>0</v>
      </c>
      <c r="J63" s="473"/>
      <c r="K63" s="485"/>
      <c r="L63" s="476">
        <f t="shared" si="0"/>
        <v>0</v>
      </c>
      <c r="M63" s="485"/>
      <c r="N63" s="476">
        <f t="shared" si="1"/>
        <v>0</v>
      </c>
      <c r="O63" s="476">
        <f t="shared" si="2"/>
        <v>0</v>
      </c>
      <c r="P63" s="241"/>
    </row>
    <row r="64" spans="2:16">
      <c r="B64" s="160" t="str">
        <f t="shared" si="11"/>
        <v/>
      </c>
      <c r="C64" s="470">
        <f>IF(D11="","-",+C63+1)</f>
        <v>2069</v>
      </c>
      <c r="D64" s="71">
        <f>IF(F63+SUM(E$17:E63)=D$10,F63,D$10-SUM(E$17:E63))</f>
        <v>0</v>
      </c>
      <c r="E64" s="69">
        <f t="shared" si="6"/>
        <v>0</v>
      </c>
      <c r="F64" s="68">
        <f t="shared" si="7"/>
        <v>0</v>
      </c>
      <c r="G64" s="70">
        <f t="shared" si="8"/>
        <v>0</v>
      </c>
      <c r="H64" s="52">
        <f t="shared" si="9"/>
        <v>0</v>
      </c>
      <c r="I64" s="65">
        <f t="shared" si="10"/>
        <v>0</v>
      </c>
      <c r="J64" s="473"/>
      <c r="K64" s="485"/>
      <c r="L64" s="476">
        <f t="shared" si="0"/>
        <v>0</v>
      </c>
      <c r="M64" s="485"/>
      <c r="N64" s="476">
        <f t="shared" si="1"/>
        <v>0</v>
      </c>
      <c r="O64" s="476">
        <f t="shared" si="2"/>
        <v>0</v>
      </c>
      <c r="P64" s="241"/>
    </row>
    <row r="65" spans="2:16">
      <c r="B65" s="160" t="str">
        <f t="shared" si="11"/>
        <v/>
      </c>
      <c r="C65" s="470">
        <f>IF(D11="","-",+C64+1)</f>
        <v>2070</v>
      </c>
      <c r="D65" s="71">
        <f>IF(F64+SUM(E$17:E64)=D$10,F64,D$10-SUM(E$17:E64))</f>
        <v>0</v>
      </c>
      <c r="E65" s="69">
        <f t="shared" si="6"/>
        <v>0</v>
      </c>
      <c r="F65" s="68">
        <f t="shared" si="7"/>
        <v>0</v>
      </c>
      <c r="G65" s="70">
        <f t="shared" si="8"/>
        <v>0</v>
      </c>
      <c r="H65" s="52">
        <f t="shared" si="9"/>
        <v>0</v>
      </c>
      <c r="I65" s="65">
        <f t="shared" si="10"/>
        <v>0</v>
      </c>
      <c r="J65" s="473"/>
      <c r="K65" s="485"/>
      <c r="L65" s="476">
        <f t="shared" si="0"/>
        <v>0</v>
      </c>
      <c r="M65" s="485"/>
      <c r="N65" s="476">
        <f t="shared" si="1"/>
        <v>0</v>
      </c>
      <c r="O65" s="476">
        <f t="shared" si="2"/>
        <v>0</v>
      </c>
      <c r="P65" s="241"/>
    </row>
    <row r="66" spans="2:16">
      <c r="B66" s="160" t="str">
        <f t="shared" si="11"/>
        <v/>
      </c>
      <c r="C66" s="470">
        <f>IF(D11="","-",+C65+1)</f>
        <v>2071</v>
      </c>
      <c r="D66" s="71">
        <f>IF(F65+SUM(E$17:E65)=D$10,F65,D$10-SUM(E$17:E65))</f>
        <v>0</v>
      </c>
      <c r="E66" s="69">
        <f t="shared" si="6"/>
        <v>0</v>
      </c>
      <c r="F66" s="68">
        <f t="shared" si="7"/>
        <v>0</v>
      </c>
      <c r="G66" s="70">
        <f t="shared" si="8"/>
        <v>0</v>
      </c>
      <c r="H66" s="52">
        <f t="shared" si="9"/>
        <v>0</v>
      </c>
      <c r="I66" s="65">
        <f t="shared" si="10"/>
        <v>0</v>
      </c>
      <c r="J66" s="473"/>
      <c r="K66" s="485"/>
      <c r="L66" s="476">
        <f t="shared" si="0"/>
        <v>0</v>
      </c>
      <c r="M66" s="485"/>
      <c r="N66" s="476">
        <f t="shared" si="1"/>
        <v>0</v>
      </c>
      <c r="O66" s="476">
        <f t="shared" si="2"/>
        <v>0</v>
      </c>
      <c r="P66" s="241"/>
    </row>
    <row r="67" spans="2:16">
      <c r="B67" s="160" t="str">
        <f t="shared" si="11"/>
        <v/>
      </c>
      <c r="C67" s="470">
        <f>IF(D11="","-",+C66+1)</f>
        <v>2072</v>
      </c>
      <c r="D67" s="71">
        <f>IF(F66+SUM(E$17:E66)=D$10,F66,D$10-SUM(E$17:E66))</f>
        <v>0</v>
      </c>
      <c r="E67" s="69">
        <f t="shared" si="6"/>
        <v>0</v>
      </c>
      <c r="F67" s="68">
        <f t="shared" si="7"/>
        <v>0</v>
      </c>
      <c r="G67" s="70">
        <f t="shared" si="8"/>
        <v>0</v>
      </c>
      <c r="H67" s="52">
        <f t="shared" si="9"/>
        <v>0</v>
      </c>
      <c r="I67" s="65">
        <f t="shared" si="10"/>
        <v>0</v>
      </c>
      <c r="J67" s="473"/>
      <c r="K67" s="485"/>
      <c r="L67" s="476">
        <f t="shared" si="0"/>
        <v>0</v>
      </c>
      <c r="M67" s="485"/>
      <c r="N67" s="476">
        <f t="shared" si="1"/>
        <v>0</v>
      </c>
      <c r="O67" s="476">
        <f t="shared" si="2"/>
        <v>0</v>
      </c>
      <c r="P67" s="241"/>
    </row>
    <row r="68" spans="2:16">
      <c r="B68" s="160" t="str">
        <f t="shared" si="11"/>
        <v/>
      </c>
      <c r="C68" s="470">
        <f>IF(D11="","-",+C67+1)</f>
        <v>2073</v>
      </c>
      <c r="D68" s="71">
        <f>IF(F67+SUM(E$17:E67)=D$10,F67,D$10-SUM(E$17:E67))</f>
        <v>0</v>
      </c>
      <c r="E68" s="69">
        <f t="shared" si="6"/>
        <v>0</v>
      </c>
      <c r="F68" s="68">
        <f t="shared" si="7"/>
        <v>0</v>
      </c>
      <c r="G68" s="70">
        <f t="shared" si="8"/>
        <v>0</v>
      </c>
      <c r="H68" s="52">
        <f t="shared" si="9"/>
        <v>0</v>
      </c>
      <c r="I68" s="65">
        <f t="shared" si="10"/>
        <v>0</v>
      </c>
      <c r="J68" s="473"/>
      <c r="K68" s="485"/>
      <c r="L68" s="476">
        <f t="shared" si="0"/>
        <v>0</v>
      </c>
      <c r="M68" s="485"/>
      <c r="N68" s="476">
        <f t="shared" si="1"/>
        <v>0</v>
      </c>
      <c r="O68" s="476">
        <f t="shared" si="2"/>
        <v>0</v>
      </c>
      <c r="P68" s="241"/>
    </row>
    <row r="69" spans="2:16">
      <c r="B69" s="160" t="str">
        <f t="shared" si="11"/>
        <v/>
      </c>
      <c r="C69" s="470">
        <f>IF(D11="","-",+C68+1)</f>
        <v>2074</v>
      </c>
      <c r="D69" s="71">
        <f>IF(F68+SUM(E$17:E68)=D$10,F68,D$10-SUM(E$17:E68))</f>
        <v>0</v>
      </c>
      <c r="E69" s="69">
        <f t="shared" si="6"/>
        <v>0</v>
      </c>
      <c r="F69" s="68">
        <f t="shared" si="7"/>
        <v>0</v>
      </c>
      <c r="G69" s="70">
        <f t="shared" si="8"/>
        <v>0</v>
      </c>
      <c r="H69" s="52">
        <f t="shared" si="9"/>
        <v>0</v>
      </c>
      <c r="I69" s="65">
        <f t="shared" si="10"/>
        <v>0</v>
      </c>
      <c r="J69" s="473"/>
      <c r="K69" s="485"/>
      <c r="L69" s="476">
        <f t="shared" si="0"/>
        <v>0</v>
      </c>
      <c r="M69" s="485"/>
      <c r="N69" s="476">
        <f t="shared" si="1"/>
        <v>0</v>
      </c>
      <c r="O69" s="476">
        <f t="shared" si="2"/>
        <v>0</v>
      </c>
      <c r="P69" s="241"/>
    </row>
    <row r="70" spans="2:16">
      <c r="B70" s="160" t="str">
        <f t="shared" si="11"/>
        <v/>
      </c>
      <c r="C70" s="470">
        <f>IF(D11="","-",+C69+1)</f>
        <v>2075</v>
      </c>
      <c r="D70" s="71">
        <f>IF(F69+SUM(E$17:E69)=D$10,F69,D$10-SUM(E$17:E69))</f>
        <v>0</v>
      </c>
      <c r="E70" s="69">
        <f t="shared" si="6"/>
        <v>0</v>
      </c>
      <c r="F70" s="68">
        <f t="shared" si="7"/>
        <v>0</v>
      </c>
      <c r="G70" s="70">
        <f t="shared" si="8"/>
        <v>0</v>
      </c>
      <c r="H70" s="52">
        <f t="shared" si="9"/>
        <v>0</v>
      </c>
      <c r="I70" s="65">
        <f t="shared" si="10"/>
        <v>0</v>
      </c>
      <c r="J70" s="473"/>
      <c r="K70" s="485"/>
      <c r="L70" s="476">
        <f t="shared" si="0"/>
        <v>0</v>
      </c>
      <c r="M70" s="485"/>
      <c r="N70" s="476">
        <f t="shared" si="1"/>
        <v>0</v>
      </c>
      <c r="O70" s="476">
        <f t="shared" si="2"/>
        <v>0</v>
      </c>
      <c r="P70" s="241"/>
    </row>
    <row r="71" spans="2:16">
      <c r="B71" s="160" t="str">
        <f t="shared" si="11"/>
        <v/>
      </c>
      <c r="C71" s="470">
        <f>IF(D11="","-",+C70+1)</f>
        <v>2076</v>
      </c>
      <c r="D71" s="71">
        <f>IF(F70+SUM(E$17:E70)=D$10,F70,D$10-SUM(E$17:E70))</f>
        <v>0</v>
      </c>
      <c r="E71" s="69">
        <f t="shared" si="6"/>
        <v>0</v>
      </c>
      <c r="F71" s="68">
        <f t="shared" si="7"/>
        <v>0</v>
      </c>
      <c r="G71" s="70">
        <f t="shared" si="8"/>
        <v>0</v>
      </c>
      <c r="H71" s="52">
        <f t="shared" si="9"/>
        <v>0</v>
      </c>
      <c r="I71" s="65">
        <f t="shared" si="10"/>
        <v>0</v>
      </c>
      <c r="J71" s="473"/>
      <c r="K71" s="485"/>
      <c r="L71" s="476">
        <f t="shared" si="0"/>
        <v>0</v>
      </c>
      <c r="M71" s="485"/>
      <c r="N71" s="476">
        <f t="shared" si="1"/>
        <v>0</v>
      </c>
      <c r="O71" s="476">
        <f t="shared" si="2"/>
        <v>0</v>
      </c>
      <c r="P71" s="241"/>
    </row>
    <row r="72" spans="2:16" ht="13.5" thickBot="1">
      <c r="B72" s="160" t="str">
        <f t="shared" si="11"/>
        <v/>
      </c>
      <c r="C72" s="487">
        <f>IF(D11="","-",+C71+1)</f>
        <v>2077</v>
      </c>
      <c r="D72" s="610">
        <f>IF(F71+SUM(E$17:E71)=D$10,F71,D$10-SUM(E$17:E71))</f>
        <v>0</v>
      </c>
      <c r="E72" s="489">
        <f>IF(+I$14&lt;F71,I$14,D72)</f>
        <v>0</v>
      </c>
      <c r="F72" s="488">
        <f>+D72-E72</f>
        <v>0</v>
      </c>
      <c r="G72" s="542">
        <f>(D72+F72)/2*I$12+E72</f>
        <v>0</v>
      </c>
      <c r="H72" s="433">
        <f>+(D72+F72)/2*I$13+E72</f>
        <v>0</v>
      </c>
      <c r="I72" s="491">
        <f>H72-G72</f>
        <v>0</v>
      </c>
      <c r="J72" s="473"/>
      <c r="K72" s="492"/>
      <c r="L72" s="493">
        <f t="shared" si="0"/>
        <v>0</v>
      </c>
      <c r="M72" s="492"/>
      <c r="N72" s="493">
        <f t="shared" si="1"/>
        <v>0</v>
      </c>
      <c r="O72" s="493">
        <f t="shared" si="2"/>
        <v>0</v>
      </c>
      <c r="P72" s="241"/>
    </row>
    <row r="73" spans="2:16">
      <c r="C73" s="345" t="s">
        <v>77</v>
      </c>
      <c r="D73" s="346"/>
      <c r="E73" s="346">
        <f>SUM(E17:E72)</f>
        <v>37862.590000000004</v>
      </c>
      <c r="F73" s="346"/>
      <c r="G73" s="346">
        <f>SUM(G17:G72)</f>
        <v>116611.32136240401</v>
      </c>
      <c r="H73" s="346">
        <f>SUM(H17:H72)</f>
        <v>116611.32136240401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29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98065.578092049604</v>
      </c>
      <c r="N87" s="506">
        <f>IF(J92&lt;D11,0,VLOOKUP(J92,C17:O72,11))</f>
        <v>98065.578092049604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1695.3372308813255</v>
      </c>
      <c r="N88" s="510">
        <f>IF(J92&lt;D11,0,VLOOKUP(J92,C99:P154,7))</f>
        <v>1695.3372308813255</v>
      </c>
      <c r="O88" s="511">
        <f>+N88-M88</f>
        <v>0</v>
      </c>
      <c r="P88" s="231"/>
    </row>
    <row r="89" spans="1:16" ht="13.5" thickBot="1">
      <c r="C89" s="429" t="s">
        <v>92</v>
      </c>
      <c r="D89" s="512"/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-96370.240861168277</v>
      </c>
      <c r="N89" s="515">
        <f>+N88-N87</f>
        <v>-96370.240861168277</v>
      </c>
      <c r="O89" s="516">
        <f>+O88-O87</f>
        <v>0</v>
      </c>
      <c r="P89" s="231"/>
    </row>
    <row r="90" spans="1:16" ht="13.5" thickBot="1">
      <c r="C90" s="494"/>
      <c r="D90" s="517">
        <f>D8</f>
        <v>0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/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524">
        <v>1203704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v>2021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3">
        <v>11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29359</v>
      </c>
      <c r="K96" s="346"/>
      <c r="L96" s="346"/>
      <c r="M96" s="346"/>
      <c r="N96" s="346"/>
      <c r="O96" s="346"/>
      <c r="P96" s="241"/>
    </row>
    <row r="97" spans="1:16" ht="38.25">
      <c r="A97" s="626"/>
      <c r="B97" s="626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3.5" thickBot="1">
      <c r="C99" s="470">
        <f>IF(D93= "","-",D93)</f>
        <v>2021</v>
      </c>
      <c r="D99" s="582">
        <v>0</v>
      </c>
      <c r="E99" s="606">
        <v>0</v>
      </c>
      <c r="F99" s="582">
        <v>0</v>
      </c>
      <c r="G99" s="606">
        <v>0</v>
      </c>
      <c r="H99" s="585">
        <v>0</v>
      </c>
      <c r="I99" s="605">
        <v>0</v>
      </c>
      <c r="J99" s="476">
        <f>+I99-H99</f>
        <v>0</v>
      </c>
      <c r="K99" s="476"/>
      <c r="L99" s="475">
        <f>+H99</f>
        <v>0</v>
      </c>
      <c r="M99" s="475">
        <f t="shared" ref="M99:M130" si="12">IF(L99&lt;&gt;0,+H99-L99,0)</f>
        <v>0</v>
      </c>
      <c r="N99" s="475">
        <f>+I99</f>
        <v>0</v>
      </c>
      <c r="O99" s="475">
        <f t="shared" ref="O99:O130" si="13">IF(N99&lt;&gt;0,+I99-N99,0)</f>
        <v>0</v>
      </c>
      <c r="P99" s="475">
        <f t="shared" ref="P99:P130" si="14">+O99-M99</f>
        <v>0</v>
      </c>
    </row>
    <row r="100" spans="1:16">
      <c r="B100" s="160" t="str">
        <f>IF(D100=F99,"","IU")</f>
        <v/>
      </c>
      <c r="C100" s="631">
        <f>IF(D93="","-",+C99+1)</f>
        <v>2022</v>
      </c>
      <c r="D100" s="345">
        <v>0</v>
      </c>
      <c r="E100" s="482">
        <v>0</v>
      </c>
      <c r="F100" s="483">
        <v>31450.100000000006</v>
      </c>
      <c r="G100" s="483">
        <v>15725.050000000003</v>
      </c>
      <c r="H100" s="611">
        <v>1695.3372308813255</v>
      </c>
      <c r="I100" s="612">
        <v>1695.3372308813255</v>
      </c>
      <c r="J100" s="476">
        <f t="shared" ref="J100:J130" si="15">+I100-H100</f>
        <v>0</v>
      </c>
      <c r="K100" s="476"/>
      <c r="L100" s="475">
        <f>+H100</f>
        <v>1695.3372308813255</v>
      </c>
      <c r="M100" s="475">
        <f t="shared" ref="M100" si="16">IF(L100&lt;&gt;0,+H100-L100,0)</f>
        <v>0</v>
      </c>
      <c r="N100" s="475">
        <f>+I100</f>
        <v>1695.3372308813255</v>
      </c>
      <c r="O100" s="475">
        <f t="shared" ref="O100" si="17">IF(N100&lt;&gt;0,+I100-N100,0)</f>
        <v>0</v>
      </c>
      <c r="P100" s="475">
        <f t="shared" ref="P100" si="18">+O100-M100</f>
        <v>0</v>
      </c>
    </row>
    <row r="101" spans="1:16">
      <c r="B101" s="160" t="str">
        <f t="shared" ref="B101:B154" si="19">IF(D101=F100,"","IU")</f>
        <v>IU</v>
      </c>
      <c r="C101" s="470">
        <f>IF(D93="","-",+C100+1)</f>
        <v>2023</v>
      </c>
      <c r="D101" s="345">
        <f>IF(F100+SUM(E$99:E100)=D$92,F100,D$92-SUM(E$99:E100))</f>
        <v>1203704</v>
      </c>
      <c r="E101" s="482">
        <f t="shared" ref="E101:E154" si="20">IF(+J$96&lt;F100,J$96,D101)</f>
        <v>29359</v>
      </c>
      <c r="F101" s="483">
        <f t="shared" ref="F101:F154" si="21">+D101-E101</f>
        <v>1174345</v>
      </c>
      <c r="G101" s="483">
        <f t="shared" ref="G101:G154" si="22">+(F101+D101)/2</f>
        <v>1189024.5</v>
      </c>
      <c r="H101" s="611">
        <f t="shared" ref="H101:H154" si="23">+J$94*G101+E101</f>
        <v>164661.41883783974</v>
      </c>
      <c r="I101" s="612">
        <f t="shared" ref="I101:I154" si="24">+J$95*G101+E101</f>
        <v>164661.41883783974</v>
      </c>
      <c r="J101" s="476">
        <f t="shared" si="15"/>
        <v>0</v>
      </c>
      <c r="K101" s="476"/>
      <c r="L101" s="485"/>
      <c r="M101" s="476">
        <f t="shared" si="12"/>
        <v>0</v>
      </c>
      <c r="N101" s="485"/>
      <c r="O101" s="476">
        <f t="shared" si="13"/>
        <v>0</v>
      </c>
      <c r="P101" s="476">
        <f t="shared" si="14"/>
        <v>0</v>
      </c>
    </row>
    <row r="102" spans="1:16">
      <c r="B102" s="160" t="str">
        <f t="shared" si="19"/>
        <v/>
      </c>
      <c r="C102" s="470">
        <f>IF(D93="","-",+C101+1)</f>
        <v>2024</v>
      </c>
      <c r="D102" s="345">
        <f>IF(F101+SUM(E$99:E101)=D$92,F101,D$92-SUM(E$99:E101))</f>
        <v>1174345</v>
      </c>
      <c r="E102" s="482">
        <f t="shared" si="20"/>
        <v>29359</v>
      </c>
      <c r="F102" s="483">
        <f t="shared" si="21"/>
        <v>1144986</v>
      </c>
      <c r="G102" s="483">
        <f t="shared" si="22"/>
        <v>1159665.5</v>
      </c>
      <c r="H102" s="611">
        <f t="shared" si="23"/>
        <v>161320.576227229</v>
      </c>
      <c r="I102" s="612">
        <f t="shared" si="24"/>
        <v>161320.576227229</v>
      </c>
      <c r="J102" s="476">
        <f t="shared" si="15"/>
        <v>0</v>
      </c>
      <c r="K102" s="476"/>
      <c r="L102" s="485"/>
      <c r="M102" s="476">
        <f t="shared" si="12"/>
        <v>0</v>
      </c>
      <c r="N102" s="485"/>
      <c r="O102" s="476">
        <f t="shared" si="13"/>
        <v>0</v>
      </c>
      <c r="P102" s="476">
        <f t="shared" si="14"/>
        <v>0</v>
      </c>
    </row>
    <row r="103" spans="1:16">
      <c r="B103" s="160" t="str">
        <f t="shared" si="19"/>
        <v/>
      </c>
      <c r="C103" s="470">
        <f>IF(D93="","-",+C102+1)</f>
        <v>2025</v>
      </c>
      <c r="D103" s="345">
        <f>IF(F102+SUM(E$99:E102)=D$92,F102,D$92-SUM(E$99:E102))</f>
        <v>1144986</v>
      </c>
      <c r="E103" s="482">
        <f t="shared" si="20"/>
        <v>29359</v>
      </c>
      <c r="F103" s="483">
        <f t="shared" si="21"/>
        <v>1115627</v>
      </c>
      <c r="G103" s="483">
        <f t="shared" si="22"/>
        <v>1130306.5</v>
      </c>
      <c r="H103" s="611">
        <f t="shared" si="23"/>
        <v>157979.73361661826</v>
      </c>
      <c r="I103" s="612">
        <f t="shared" si="24"/>
        <v>157979.73361661826</v>
      </c>
      <c r="J103" s="476">
        <f t="shared" si="15"/>
        <v>0</v>
      </c>
      <c r="K103" s="476"/>
      <c r="L103" s="485"/>
      <c r="M103" s="476">
        <f t="shared" si="12"/>
        <v>0</v>
      </c>
      <c r="N103" s="485"/>
      <c r="O103" s="476">
        <f t="shared" si="13"/>
        <v>0</v>
      </c>
      <c r="P103" s="476">
        <f t="shared" si="14"/>
        <v>0</v>
      </c>
    </row>
    <row r="104" spans="1:16">
      <c r="B104" s="160" t="str">
        <f t="shared" si="19"/>
        <v/>
      </c>
      <c r="C104" s="470">
        <f>IF(D93="","-",+C103+1)</f>
        <v>2026</v>
      </c>
      <c r="D104" s="345">
        <f>IF(F103+SUM(E$99:E103)=D$92,F103,D$92-SUM(E$99:E103))</f>
        <v>1115627</v>
      </c>
      <c r="E104" s="482">
        <f t="shared" si="20"/>
        <v>29359</v>
      </c>
      <c r="F104" s="483">
        <f t="shared" si="21"/>
        <v>1086268</v>
      </c>
      <c r="G104" s="483">
        <f t="shared" si="22"/>
        <v>1100947.5</v>
      </c>
      <c r="H104" s="611">
        <f t="shared" si="23"/>
        <v>154638.8910060075</v>
      </c>
      <c r="I104" s="612">
        <f t="shared" si="24"/>
        <v>154638.8910060075</v>
      </c>
      <c r="J104" s="476">
        <f t="shared" si="15"/>
        <v>0</v>
      </c>
      <c r="K104" s="476"/>
      <c r="L104" s="485"/>
      <c r="M104" s="476">
        <f t="shared" si="12"/>
        <v>0</v>
      </c>
      <c r="N104" s="485"/>
      <c r="O104" s="476">
        <f t="shared" si="13"/>
        <v>0</v>
      </c>
      <c r="P104" s="476">
        <f t="shared" si="14"/>
        <v>0</v>
      </c>
    </row>
    <row r="105" spans="1:16">
      <c r="B105" s="160" t="str">
        <f t="shared" si="19"/>
        <v/>
      </c>
      <c r="C105" s="470">
        <f>IF(D93="","-",+C104+1)</f>
        <v>2027</v>
      </c>
      <c r="D105" s="345">
        <f>IF(F104+SUM(E$99:E104)=D$92,F104,D$92-SUM(E$99:E104))</f>
        <v>1086268</v>
      </c>
      <c r="E105" s="482">
        <f t="shared" si="20"/>
        <v>29359</v>
      </c>
      <c r="F105" s="483">
        <f t="shared" si="21"/>
        <v>1056909</v>
      </c>
      <c r="G105" s="483">
        <f t="shared" si="22"/>
        <v>1071588.5</v>
      </c>
      <c r="H105" s="611">
        <f t="shared" si="23"/>
        <v>151298.04839539673</v>
      </c>
      <c r="I105" s="612">
        <f t="shared" si="24"/>
        <v>151298.04839539673</v>
      </c>
      <c r="J105" s="476">
        <f t="shared" si="15"/>
        <v>0</v>
      </c>
      <c r="K105" s="476"/>
      <c r="L105" s="485"/>
      <c r="M105" s="476">
        <f t="shared" si="12"/>
        <v>0</v>
      </c>
      <c r="N105" s="485"/>
      <c r="O105" s="476">
        <f t="shared" si="13"/>
        <v>0</v>
      </c>
      <c r="P105" s="476">
        <f t="shared" si="14"/>
        <v>0</v>
      </c>
    </row>
    <row r="106" spans="1:16">
      <c r="B106" s="160" t="str">
        <f t="shared" si="19"/>
        <v/>
      </c>
      <c r="C106" s="470">
        <f>IF(D93="","-",+C105+1)</f>
        <v>2028</v>
      </c>
      <c r="D106" s="345">
        <f>IF(F105+SUM(E$99:E105)=D$92,F105,D$92-SUM(E$99:E105))</f>
        <v>1056909</v>
      </c>
      <c r="E106" s="482">
        <f t="shared" si="20"/>
        <v>29359</v>
      </c>
      <c r="F106" s="483">
        <f t="shared" si="21"/>
        <v>1027550</v>
      </c>
      <c r="G106" s="483">
        <f t="shared" si="22"/>
        <v>1042229.5</v>
      </c>
      <c r="H106" s="611">
        <f t="shared" si="23"/>
        <v>147957.20578478603</v>
      </c>
      <c r="I106" s="612">
        <f t="shared" si="24"/>
        <v>147957.20578478603</v>
      </c>
      <c r="J106" s="476">
        <f t="shared" si="15"/>
        <v>0</v>
      </c>
      <c r="K106" s="476"/>
      <c r="L106" s="485"/>
      <c r="M106" s="476">
        <f t="shared" si="12"/>
        <v>0</v>
      </c>
      <c r="N106" s="485"/>
      <c r="O106" s="476">
        <f t="shared" si="13"/>
        <v>0</v>
      </c>
      <c r="P106" s="476">
        <f t="shared" si="14"/>
        <v>0</v>
      </c>
    </row>
    <row r="107" spans="1:16">
      <c r="B107" s="160" t="str">
        <f t="shared" si="19"/>
        <v/>
      </c>
      <c r="C107" s="470">
        <f>IF(D93="","-",+C106+1)</f>
        <v>2029</v>
      </c>
      <c r="D107" s="345">
        <f>IF(F106+SUM(E$99:E106)=D$92,F106,D$92-SUM(E$99:E106))</f>
        <v>1027550</v>
      </c>
      <c r="E107" s="482">
        <f t="shared" si="20"/>
        <v>29359</v>
      </c>
      <c r="F107" s="483">
        <f t="shared" si="21"/>
        <v>998191</v>
      </c>
      <c r="G107" s="483">
        <f t="shared" si="22"/>
        <v>1012870.5</v>
      </c>
      <c r="H107" s="611">
        <f t="shared" si="23"/>
        <v>144616.36317417526</v>
      </c>
      <c r="I107" s="612">
        <f t="shared" si="24"/>
        <v>144616.36317417526</v>
      </c>
      <c r="J107" s="476">
        <f t="shared" si="15"/>
        <v>0</v>
      </c>
      <c r="K107" s="476"/>
      <c r="L107" s="485"/>
      <c r="M107" s="476">
        <f t="shared" si="12"/>
        <v>0</v>
      </c>
      <c r="N107" s="485"/>
      <c r="O107" s="476">
        <f t="shared" si="13"/>
        <v>0</v>
      </c>
      <c r="P107" s="476">
        <f t="shared" si="14"/>
        <v>0</v>
      </c>
    </row>
    <row r="108" spans="1:16">
      <c r="B108" s="160" t="str">
        <f t="shared" si="19"/>
        <v/>
      </c>
      <c r="C108" s="470">
        <f>IF(D93="","-",+C107+1)</f>
        <v>2030</v>
      </c>
      <c r="D108" s="345">
        <f>IF(F107+SUM(E$99:E107)=D$92,F107,D$92-SUM(E$99:E107))</f>
        <v>998191</v>
      </c>
      <c r="E108" s="482">
        <f t="shared" si="20"/>
        <v>29359</v>
      </c>
      <c r="F108" s="483">
        <f t="shared" si="21"/>
        <v>968832</v>
      </c>
      <c r="G108" s="483">
        <f t="shared" si="22"/>
        <v>983511.5</v>
      </c>
      <c r="H108" s="611">
        <f t="shared" si="23"/>
        <v>141275.5205635645</v>
      </c>
      <c r="I108" s="612">
        <f t="shared" si="24"/>
        <v>141275.5205635645</v>
      </c>
      <c r="J108" s="476">
        <f t="shared" si="15"/>
        <v>0</v>
      </c>
      <c r="K108" s="476"/>
      <c r="L108" s="485"/>
      <c r="M108" s="476">
        <f t="shared" si="12"/>
        <v>0</v>
      </c>
      <c r="N108" s="485"/>
      <c r="O108" s="476">
        <f t="shared" si="13"/>
        <v>0</v>
      </c>
      <c r="P108" s="476">
        <f t="shared" si="14"/>
        <v>0</v>
      </c>
    </row>
    <row r="109" spans="1:16">
      <c r="B109" s="160" t="str">
        <f t="shared" si="19"/>
        <v/>
      </c>
      <c r="C109" s="470">
        <f>IF(D93="","-",+C108+1)</f>
        <v>2031</v>
      </c>
      <c r="D109" s="345">
        <f>IF(F108+SUM(E$99:E108)=D$92,F108,D$92-SUM(E$99:E108))</f>
        <v>968832</v>
      </c>
      <c r="E109" s="482">
        <f t="shared" si="20"/>
        <v>29359</v>
      </c>
      <c r="F109" s="483">
        <f t="shared" si="21"/>
        <v>939473</v>
      </c>
      <c r="G109" s="483">
        <f t="shared" si="22"/>
        <v>954152.5</v>
      </c>
      <c r="H109" s="611">
        <f t="shared" si="23"/>
        <v>137934.67795295379</v>
      </c>
      <c r="I109" s="612">
        <f t="shared" si="24"/>
        <v>137934.67795295379</v>
      </c>
      <c r="J109" s="476">
        <f t="shared" si="15"/>
        <v>0</v>
      </c>
      <c r="K109" s="476"/>
      <c r="L109" s="485"/>
      <c r="M109" s="476">
        <f t="shared" si="12"/>
        <v>0</v>
      </c>
      <c r="N109" s="485"/>
      <c r="O109" s="476">
        <f t="shared" si="13"/>
        <v>0</v>
      </c>
      <c r="P109" s="476">
        <f t="shared" si="14"/>
        <v>0</v>
      </c>
    </row>
    <row r="110" spans="1:16">
      <c r="B110" s="160" t="str">
        <f t="shared" si="19"/>
        <v/>
      </c>
      <c r="C110" s="470">
        <f>IF(D93="","-",+C109+1)</f>
        <v>2032</v>
      </c>
      <c r="D110" s="345">
        <f>IF(F109+SUM(E$99:E109)=D$92,F109,D$92-SUM(E$99:E109))</f>
        <v>939473</v>
      </c>
      <c r="E110" s="482">
        <f t="shared" si="20"/>
        <v>29359</v>
      </c>
      <c r="F110" s="483">
        <f t="shared" si="21"/>
        <v>910114</v>
      </c>
      <c r="G110" s="483">
        <f t="shared" si="22"/>
        <v>924793.5</v>
      </c>
      <c r="H110" s="611">
        <f t="shared" si="23"/>
        <v>134593.83534234302</v>
      </c>
      <c r="I110" s="612">
        <f t="shared" si="24"/>
        <v>134593.83534234302</v>
      </c>
      <c r="J110" s="476">
        <f t="shared" si="15"/>
        <v>0</v>
      </c>
      <c r="K110" s="476"/>
      <c r="L110" s="485"/>
      <c r="M110" s="476">
        <f t="shared" si="12"/>
        <v>0</v>
      </c>
      <c r="N110" s="485"/>
      <c r="O110" s="476">
        <f t="shared" si="13"/>
        <v>0</v>
      </c>
      <c r="P110" s="476">
        <f t="shared" si="14"/>
        <v>0</v>
      </c>
    </row>
    <row r="111" spans="1:16">
      <c r="B111" s="160" t="str">
        <f t="shared" si="19"/>
        <v/>
      </c>
      <c r="C111" s="470">
        <f>IF(D93="","-",+C110+1)</f>
        <v>2033</v>
      </c>
      <c r="D111" s="345">
        <f>IF(F110+SUM(E$99:E110)=D$92,F110,D$92-SUM(E$99:E110))</f>
        <v>910114</v>
      </c>
      <c r="E111" s="482">
        <f t="shared" si="20"/>
        <v>29359</v>
      </c>
      <c r="F111" s="483">
        <f t="shared" si="21"/>
        <v>880755</v>
      </c>
      <c r="G111" s="483">
        <f t="shared" si="22"/>
        <v>895434.5</v>
      </c>
      <c r="H111" s="611">
        <f t="shared" si="23"/>
        <v>131252.99273173226</v>
      </c>
      <c r="I111" s="612">
        <f t="shared" si="24"/>
        <v>131252.99273173226</v>
      </c>
      <c r="J111" s="476">
        <f t="shared" si="15"/>
        <v>0</v>
      </c>
      <c r="K111" s="476"/>
      <c r="L111" s="485"/>
      <c r="M111" s="476">
        <f t="shared" si="12"/>
        <v>0</v>
      </c>
      <c r="N111" s="485"/>
      <c r="O111" s="476">
        <f t="shared" si="13"/>
        <v>0</v>
      </c>
      <c r="P111" s="476">
        <f t="shared" si="14"/>
        <v>0</v>
      </c>
    </row>
    <row r="112" spans="1:16">
      <c r="B112" s="160" t="str">
        <f t="shared" si="19"/>
        <v/>
      </c>
      <c r="C112" s="470">
        <f>IF(D93="","-",+C111+1)</f>
        <v>2034</v>
      </c>
      <c r="D112" s="345">
        <f>IF(F111+SUM(E$99:E111)=D$92,F111,D$92-SUM(E$99:E111))</f>
        <v>880755</v>
      </c>
      <c r="E112" s="482">
        <f t="shared" si="20"/>
        <v>29359</v>
      </c>
      <c r="F112" s="483">
        <f t="shared" si="21"/>
        <v>851396</v>
      </c>
      <c r="G112" s="483">
        <f t="shared" si="22"/>
        <v>866075.5</v>
      </c>
      <c r="H112" s="611">
        <f t="shared" si="23"/>
        <v>127912.15012112154</v>
      </c>
      <c r="I112" s="612">
        <f t="shared" si="24"/>
        <v>127912.15012112154</v>
      </c>
      <c r="J112" s="476">
        <f t="shared" si="15"/>
        <v>0</v>
      </c>
      <c r="K112" s="476"/>
      <c r="L112" s="485"/>
      <c r="M112" s="476">
        <f t="shared" si="12"/>
        <v>0</v>
      </c>
      <c r="N112" s="485"/>
      <c r="O112" s="476">
        <f t="shared" si="13"/>
        <v>0</v>
      </c>
      <c r="P112" s="476">
        <f t="shared" si="14"/>
        <v>0</v>
      </c>
    </row>
    <row r="113" spans="2:16">
      <c r="B113" s="160" t="str">
        <f t="shared" si="19"/>
        <v/>
      </c>
      <c r="C113" s="470">
        <f>IF(D93="","-",+C112+1)</f>
        <v>2035</v>
      </c>
      <c r="D113" s="345">
        <f>IF(F112+SUM(E$99:E112)=D$92,F112,D$92-SUM(E$99:E112))</f>
        <v>851396</v>
      </c>
      <c r="E113" s="482">
        <f t="shared" si="20"/>
        <v>29359</v>
      </c>
      <c r="F113" s="483">
        <f t="shared" si="21"/>
        <v>822037</v>
      </c>
      <c r="G113" s="483">
        <f t="shared" si="22"/>
        <v>836716.5</v>
      </c>
      <c r="H113" s="611">
        <f t="shared" si="23"/>
        <v>124571.30751051079</v>
      </c>
      <c r="I113" s="612">
        <f t="shared" si="24"/>
        <v>124571.30751051079</v>
      </c>
      <c r="J113" s="476">
        <f t="shared" si="15"/>
        <v>0</v>
      </c>
      <c r="K113" s="476"/>
      <c r="L113" s="485"/>
      <c r="M113" s="476">
        <f t="shared" si="12"/>
        <v>0</v>
      </c>
      <c r="N113" s="485"/>
      <c r="O113" s="476">
        <f t="shared" si="13"/>
        <v>0</v>
      </c>
      <c r="P113" s="476">
        <f t="shared" si="14"/>
        <v>0</v>
      </c>
    </row>
    <row r="114" spans="2:16">
      <c r="B114" s="160" t="str">
        <f t="shared" si="19"/>
        <v/>
      </c>
      <c r="C114" s="470">
        <f>IF(D93="","-",+C113+1)</f>
        <v>2036</v>
      </c>
      <c r="D114" s="345">
        <f>IF(F113+SUM(E$99:E113)=D$92,F113,D$92-SUM(E$99:E113))</f>
        <v>822037</v>
      </c>
      <c r="E114" s="482">
        <f t="shared" si="20"/>
        <v>29359</v>
      </c>
      <c r="F114" s="483">
        <f t="shared" si="21"/>
        <v>792678</v>
      </c>
      <c r="G114" s="483">
        <f t="shared" si="22"/>
        <v>807357.5</v>
      </c>
      <c r="H114" s="611">
        <f t="shared" si="23"/>
        <v>121230.46489990003</v>
      </c>
      <c r="I114" s="612">
        <f t="shared" si="24"/>
        <v>121230.46489990003</v>
      </c>
      <c r="J114" s="476">
        <f t="shared" si="15"/>
        <v>0</v>
      </c>
      <c r="K114" s="476"/>
      <c r="L114" s="485"/>
      <c r="M114" s="476">
        <f t="shared" si="12"/>
        <v>0</v>
      </c>
      <c r="N114" s="485"/>
      <c r="O114" s="476">
        <f t="shared" si="13"/>
        <v>0</v>
      </c>
      <c r="P114" s="476">
        <f t="shared" si="14"/>
        <v>0</v>
      </c>
    </row>
    <row r="115" spans="2:16">
      <c r="B115" s="160" t="str">
        <f t="shared" si="19"/>
        <v/>
      </c>
      <c r="C115" s="470">
        <f>IF(D93="","-",+C114+1)</f>
        <v>2037</v>
      </c>
      <c r="D115" s="345">
        <f>IF(F114+SUM(E$99:E114)=D$92,F114,D$92-SUM(E$99:E114))</f>
        <v>792678</v>
      </c>
      <c r="E115" s="482">
        <f t="shared" si="20"/>
        <v>29359</v>
      </c>
      <c r="F115" s="483">
        <f t="shared" si="21"/>
        <v>763319</v>
      </c>
      <c r="G115" s="483">
        <f t="shared" si="22"/>
        <v>777998.5</v>
      </c>
      <c r="H115" s="611">
        <f t="shared" si="23"/>
        <v>117889.6222892893</v>
      </c>
      <c r="I115" s="612">
        <f t="shared" si="24"/>
        <v>117889.6222892893</v>
      </c>
      <c r="J115" s="476">
        <f t="shared" si="15"/>
        <v>0</v>
      </c>
      <c r="K115" s="476"/>
      <c r="L115" s="485"/>
      <c r="M115" s="476">
        <f t="shared" si="12"/>
        <v>0</v>
      </c>
      <c r="N115" s="485"/>
      <c r="O115" s="476">
        <f t="shared" si="13"/>
        <v>0</v>
      </c>
      <c r="P115" s="476">
        <f t="shared" si="14"/>
        <v>0</v>
      </c>
    </row>
    <row r="116" spans="2:16">
      <c r="B116" s="160" t="str">
        <f t="shared" si="19"/>
        <v/>
      </c>
      <c r="C116" s="470">
        <f>IF(D93="","-",+C115+1)</f>
        <v>2038</v>
      </c>
      <c r="D116" s="345">
        <f>IF(F115+SUM(E$99:E115)=D$92,F115,D$92-SUM(E$99:E115))</f>
        <v>763319</v>
      </c>
      <c r="E116" s="482">
        <f t="shared" si="20"/>
        <v>29359</v>
      </c>
      <c r="F116" s="483">
        <f t="shared" si="21"/>
        <v>733960</v>
      </c>
      <c r="G116" s="483">
        <f t="shared" si="22"/>
        <v>748639.5</v>
      </c>
      <c r="H116" s="611">
        <f t="shared" si="23"/>
        <v>114548.77967867855</v>
      </c>
      <c r="I116" s="612">
        <f t="shared" si="24"/>
        <v>114548.77967867855</v>
      </c>
      <c r="J116" s="476">
        <f t="shared" si="15"/>
        <v>0</v>
      </c>
      <c r="K116" s="476"/>
      <c r="L116" s="485"/>
      <c r="M116" s="476">
        <f t="shared" si="12"/>
        <v>0</v>
      </c>
      <c r="N116" s="485"/>
      <c r="O116" s="476">
        <f t="shared" si="13"/>
        <v>0</v>
      </c>
      <c r="P116" s="476">
        <f t="shared" si="14"/>
        <v>0</v>
      </c>
    </row>
    <row r="117" spans="2:16">
      <c r="B117" s="160" t="str">
        <f t="shared" si="19"/>
        <v/>
      </c>
      <c r="C117" s="470">
        <f>IF(D93="","-",+C116+1)</f>
        <v>2039</v>
      </c>
      <c r="D117" s="345">
        <f>IF(F116+SUM(E$99:E116)=D$92,F116,D$92-SUM(E$99:E116))</f>
        <v>733960</v>
      </c>
      <c r="E117" s="482">
        <f t="shared" si="20"/>
        <v>29359</v>
      </c>
      <c r="F117" s="483">
        <f t="shared" si="21"/>
        <v>704601</v>
      </c>
      <c r="G117" s="483">
        <f t="shared" si="22"/>
        <v>719280.5</v>
      </c>
      <c r="H117" s="611">
        <f t="shared" si="23"/>
        <v>111207.9370680678</v>
      </c>
      <c r="I117" s="612">
        <f t="shared" si="24"/>
        <v>111207.9370680678</v>
      </c>
      <c r="J117" s="476">
        <f t="shared" si="15"/>
        <v>0</v>
      </c>
      <c r="K117" s="476"/>
      <c r="L117" s="485"/>
      <c r="M117" s="476">
        <f t="shared" si="12"/>
        <v>0</v>
      </c>
      <c r="N117" s="485"/>
      <c r="O117" s="476">
        <f t="shared" si="13"/>
        <v>0</v>
      </c>
      <c r="P117" s="476">
        <f t="shared" si="14"/>
        <v>0</v>
      </c>
    </row>
    <row r="118" spans="2:16">
      <c r="B118" s="160" t="str">
        <f t="shared" si="19"/>
        <v/>
      </c>
      <c r="C118" s="470">
        <f>IF(D93="","-",+C117+1)</f>
        <v>2040</v>
      </c>
      <c r="D118" s="345">
        <f>IF(F117+SUM(E$99:E117)=D$92,F117,D$92-SUM(E$99:E117))</f>
        <v>704601</v>
      </c>
      <c r="E118" s="482">
        <f t="shared" si="20"/>
        <v>29359</v>
      </c>
      <c r="F118" s="483">
        <f t="shared" si="21"/>
        <v>675242</v>
      </c>
      <c r="G118" s="483">
        <f t="shared" si="22"/>
        <v>689921.5</v>
      </c>
      <c r="H118" s="611">
        <f t="shared" si="23"/>
        <v>107867.09445745706</v>
      </c>
      <c r="I118" s="612">
        <f t="shared" si="24"/>
        <v>107867.09445745706</v>
      </c>
      <c r="J118" s="476">
        <f t="shared" si="15"/>
        <v>0</v>
      </c>
      <c r="K118" s="476"/>
      <c r="L118" s="485"/>
      <c r="M118" s="476">
        <f t="shared" si="12"/>
        <v>0</v>
      </c>
      <c r="N118" s="485"/>
      <c r="O118" s="476">
        <f t="shared" si="13"/>
        <v>0</v>
      </c>
      <c r="P118" s="476">
        <f t="shared" si="14"/>
        <v>0</v>
      </c>
    </row>
    <row r="119" spans="2:16">
      <c r="B119" s="160" t="str">
        <f t="shared" si="19"/>
        <v/>
      </c>
      <c r="C119" s="470">
        <f>IF(D93="","-",+C118+1)</f>
        <v>2041</v>
      </c>
      <c r="D119" s="345">
        <f>IF(F118+SUM(E$99:E118)=D$92,F118,D$92-SUM(E$99:E118))</f>
        <v>675242</v>
      </c>
      <c r="E119" s="482">
        <f t="shared" si="20"/>
        <v>29359</v>
      </c>
      <c r="F119" s="483">
        <f t="shared" si="21"/>
        <v>645883</v>
      </c>
      <c r="G119" s="483">
        <f t="shared" si="22"/>
        <v>660562.5</v>
      </c>
      <c r="H119" s="611">
        <f t="shared" si="23"/>
        <v>104526.25184684631</v>
      </c>
      <c r="I119" s="612">
        <f t="shared" si="24"/>
        <v>104526.25184684631</v>
      </c>
      <c r="J119" s="476">
        <f t="shared" si="15"/>
        <v>0</v>
      </c>
      <c r="K119" s="476"/>
      <c r="L119" s="485"/>
      <c r="M119" s="476">
        <f t="shared" si="12"/>
        <v>0</v>
      </c>
      <c r="N119" s="485"/>
      <c r="O119" s="476">
        <f t="shared" si="13"/>
        <v>0</v>
      </c>
      <c r="P119" s="476">
        <f t="shared" si="14"/>
        <v>0</v>
      </c>
    </row>
    <row r="120" spans="2:16">
      <c r="B120" s="160" t="str">
        <f t="shared" si="19"/>
        <v/>
      </c>
      <c r="C120" s="470">
        <f>IF(D93="","-",+C119+1)</f>
        <v>2042</v>
      </c>
      <c r="D120" s="345">
        <f>IF(F119+SUM(E$99:E119)=D$92,F119,D$92-SUM(E$99:E119))</f>
        <v>645883</v>
      </c>
      <c r="E120" s="482">
        <f t="shared" si="20"/>
        <v>29359</v>
      </c>
      <c r="F120" s="483">
        <f t="shared" si="21"/>
        <v>616524</v>
      </c>
      <c r="G120" s="483">
        <f t="shared" si="22"/>
        <v>631203.5</v>
      </c>
      <c r="H120" s="611">
        <f t="shared" si="23"/>
        <v>101185.40923623556</v>
      </c>
      <c r="I120" s="612">
        <f t="shared" si="24"/>
        <v>101185.40923623556</v>
      </c>
      <c r="J120" s="476">
        <f t="shared" si="15"/>
        <v>0</v>
      </c>
      <c r="K120" s="476"/>
      <c r="L120" s="485"/>
      <c r="M120" s="476">
        <f t="shared" si="12"/>
        <v>0</v>
      </c>
      <c r="N120" s="485"/>
      <c r="O120" s="476">
        <f t="shared" si="13"/>
        <v>0</v>
      </c>
      <c r="P120" s="476">
        <f t="shared" si="14"/>
        <v>0</v>
      </c>
    </row>
    <row r="121" spans="2:16">
      <c r="B121" s="160" t="str">
        <f t="shared" si="19"/>
        <v/>
      </c>
      <c r="C121" s="470">
        <f>IF(D93="","-",+C120+1)</f>
        <v>2043</v>
      </c>
      <c r="D121" s="345">
        <f>IF(F120+SUM(E$99:E120)=D$92,F120,D$92-SUM(E$99:E120))</f>
        <v>616524</v>
      </c>
      <c r="E121" s="482">
        <f t="shared" si="20"/>
        <v>29359</v>
      </c>
      <c r="F121" s="483">
        <f t="shared" si="21"/>
        <v>587165</v>
      </c>
      <c r="G121" s="483">
        <f t="shared" si="22"/>
        <v>601844.5</v>
      </c>
      <c r="H121" s="611">
        <f t="shared" si="23"/>
        <v>97844.566625624822</v>
      </c>
      <c r="I121" s="612">
        <f t="shared" si="24"/>
        <v>97844.566625624822</v>
      </c>
      <c r="J121" s="476">
        <f t="shared" si="15"/>
        <v>0</v>
      </c>
      <c r="K121" s="476"/>
      <c r="L121" s="485"/>
      <c r="M121" s="476">
        <f t="shared" si="12"/>
        <v>0</v>
      </c>
      <c r="N121" s="485"/>
      <c r="O121" s="476">
        <f t="shared" si="13"/>
        <v>0</v>
      </c>
      <c r="P121" s="476">
        <f t="shared" si="14"/>
        <v>0</v>
      </c>
    </row>
    <row r="122" spans="2:16">
      <c r="B122" s="160" t="str">
        <f t="shared" si="19"/>
        <v/>
      </c>
      <c r="C122" s="470">
        <f>IF(D93="","-",+C121+1)</f>
        <v>2044</v>
      </c>
      <c r="D122" s="345">
        <f>IF(F121+SUM(E$99:E121)=D$92,F121,D$92-SUM(E$99:E121))</f>
        <v>587165</v>
      </c>
      <c r="E122" s="482">
        <f t="shared" si="20"/>
        <v>29359</v>
      </c>
      <c r="F122" s="483">
        <f t="shared" si="21"/>
        <v>557806</v>
      </c>
      <c r="G122" s="483">
        <f t="shared" si="22"/>
        <v>572485.5</v>
      </c>
      <c r="H122" s="611">
        <f t="shared" si="23"/>
        <v>94503.724015014071</v>
      </c>
      <c r="I122" s="612">
        <f t="shared" si="24"/>
        <v>94503.724015014071</v>
      </c>
      <c r="J122" s="476">
        <f t="shared" si="15"/>
        <v>0</v>
      </c>
      <c r="K122" s="476"/>
      <c r="L122" s="485"/>
      <c r="M122" s="476">
        <f t="shared" si="12"/>
        <v>0</v>
      </c>
      <c r="N122" s="485"/>
      <c r="O122" s="476">
        <f t="shared" si="13"/>
        <v>0</v>
      </c>
      <c r="P122" s="476">
        <f t="shared" si="14"/>
        <v>0</v>
      </c>
    </row>
    <row r="123" spans="2:16">
      <c r="B123" s="160" t="str">
        <f t="shared" si="19"/>
        <v/>
      </c>
      <c r="C123" s="470">
        <f>IF(D93="","-",+C122+1)</f>
        <v>2045</v>
      </c>
      <c r="D123" s="345">
        <f>IF(F122+SUM(E$99:E122)=D$92,F122,D$92-SUM(E$99:E122))</f>
        <v>557806</v>
      </c>
      <c r="E123" s="482">
        <f t="shared" si="20"/>
        <v>29359</v>
      </c>
      <c r="F123" s="483">
        <f t="shared" si="21"/>
        <v>528447</v>
      </c>
      <c r="G123" s="483">
        <f t="shared" si="22"/>
        <v>543126.5</v>
      </c>
      <c r="H123" s="611">
        <f t="shared" si="23"/>
        <v>91162.881404403335</v>
      </c>
      <c r="I123" s="612">
        <f t="shared" si="24"/>
        <v>91162.881404403335</v>
      </c>
      <c r="J123" s="476">
        <f t="shared" si="15"/>
        <v>0</v>
      </c>
      <c r="K123" s="476"/>
      <c r="L123" s="485"/>
      <c r="M123" s="476">
        <f t="shared" si="12"/>
        <v>0</v>
      </c>
      <c r="N123" s="485"/>
      <c r="O123" s="476">
        <f t="shared" si="13"/>
        <v>0</v>
      </c>
      <c r="P123" s="476">
        <f t="shared" si="14"/>
        <v>0</v>
      </c>
    </row>
    <row r="124" spans="2:16">
      <c r="B124" s="160" t="str">
        <f t="shared" si="19"/>
        <v/>
      </c>
      <c r="C124" s="470">
        <f>IF(D93="","-",+C123+1)</f>
        <v>2046</v>
      </c>
      <c r="D124" s="345">
        <f>IF(F123+SUM(E$99:E123)=D$92,F123,D$92-SUM(E$99:E123))</f>
        <v>528447</v>
      </c>
      <c r="E124" s="482">
        <f t="shared" si="20"/>
        <v>29359</v>
      </c>
      <c r="F124" s="483">
        <f t="shared" si="21"/>
        <v>499088</v>
      </c>
      <c r="G124" s="483">
        <f t="shared" si="22"/>
        <v>513767.5</v>
      </c>
      <c r="H124" s="611">
        <f t="shared" si="23"/>
        <v>87822.038793792584</v>
      </c>
      <c r="I124" s="612">
        <f t="shared" si="24"/>
        <v>87822.038793792584</v>
      </c>
      <c r="J124" s="476">
        <f t="shared" si="15"/>
        <v>0</v>
      </c>
      <c r="K124" s="476"/>
      <c r="L124" s="485"/>
      <c r="M124" s="476">
        <f t="shared" si="12"/>
        <v>0</v>
      </c>
      <c r="N124" s="485"/>
      <c r="O124" s="476">
        <f t="shared" si="13"/>
        <v>0</v>
      </c>
      <c r="P124" s="476">
        <f t="shared" si="14"/>
        <v>0</v>
      </c>
    </row>
    <row r="125" spans="2:16">
      <c r="B125" s="160" t="str">
        <f t="shared" si="19"/>
        <v/>
      </c>
      <c r="C125" s="470">
        <f>IF(D93="","-",+C124+1)</f>
        <v>2047</v>
      </c>
      <c r="D125" s="345">
        <f>IF(F124+SUM(E$99:E124)=D$92,F124,D$92-SUM(E$99:E124))</f>
        <v>499088</v>
      </c>
      <c r="E125" s="482">
        <f t="shared" si="20"/>
        <v>29359</v>
      </c>
      <c r="F125" s="483">
        <f t="shared" si="21"/>
        <v>469729</v>
      </c>
      <c r="G125" s="483">
        <f t="shared" si="22"/>
        <v>484408.5</v>
      </c>
      <c r="H125" s="611">
        <f t="shared" si="23"/>
        <v>84481.196183181833</v>
      </c>
      <c r="I125" s="612">
        <f t="shared" si="24"/>
        <v>84481.196183181833</v>
      </c>
      <c r="J125" s="476">
        <f t="shared" si="15"/>
        <v>0</v>
      </c>
      <c r="K125" s="476"/>
      <c r="L125" s="485"/>
      <c r="M125" s="476">
        <f t="shared" si="12"/>
        <v>0</v>
      </c>
      <c r="N125" s="485"/>
      <c r="O125" s="476">
        <f t="shared" si="13"/>
        <v>0</v>
      </c>
      <c r="P125" s="476">
        <f t="shared" si="14"/>
        <v>0</v>
      </c>
    </row>
    <row r="126" spans="2:16">
      <c r="B126" s="160" t="str">
        <f t="shared" si="19"/>
        <v/>
      </c>
      <c r="C126" s="470">
        <f>IF(D93="","-",+C125+1)</f>
        <v>2048</v>
      </c>
      <c r="D126" s="345">
        <f>IF(F125+SUM(E$99:E125)=D$92,F125,D$92-SUM(E$99:E125))</f>
        <v>469729</v>
      </c>
      <c r="E126" s="482">
        <f t="shared" si="20"/>
        <v>29359</v>
      </c>
      <c r="F126" s="483">
        <f t="shared" si="21"/>
        <v>440370</v>
      </c>
      <c r="G126" s="483">
        <f t="shared" si="22"/>
        <v>455049.5</v>
      </c>
      <c r="H126" s="611">
        <f t="shared" si="23"/>
        <v>81140.353572571097</v>
      </c>
      <c r="I126" s="612">
        <f t="shared" si="24"/>
        <v>81140.353572571097</v>
      </c>
      <c r="J126" s="476">
        <f t="shared" si="15"/>
        <v>0</v>
      </c>
      <c r="K126" s="476"/>
      <c r="L126" s="485"/>
      <c r="M126" s="476">
        <f t="shared" si="12"/>
        <v>0</v>
      </c>
      <c r="N126" s="485"/>
      <c r="O126" s="476">
        <f t="shared" si="13"/>
        <v>0</v>
      </c>
      <c r="P126" s="476">
        <f t="shared" si="14"/>
        <v>0</v>
      </c>
    </row>
    <row r="127" spans="2:16">
      <c r="B127" s="160" t="str">
        <f t="shared" si="19"/>
        <v/>
      </c>
      <c r="C127" s="470">
        <f>IF(D93="","-",+C126+1)</f>
        <v>2049</v>
      </c>
      <c r="D127" s="345">
        <f>IF(F126+SUM(E$99:E126)=D$92,F126,D$92-SUM(E$99:E126))</f>
        <v>440370</v>
      </c>
      <c r="E127" s="482">
        <f t="shared" si="20"/>
        <v>29359</v>
      </c>
      <c r="F127" s="483">
        <f t="shared" si="21"/>
        <v>411011</v>
      </c>
      <c r="G127" s="483">
        <f t="shared" si="22"/>
        <v>425690.5</v>
      </c>
      <c r="H127" s="611">
        <f t="shared" si="23"/>
        <v>77799.510961960346</v>
      </c>
      <c r="I127" s="612">
        <f t="shared" si="24"/>
        <v>77799.510961960346</v>
      </c>
      <c r="J127" s="476">
        <f t="shared" si="15"/>
        <v>0</v>
      </c>
      <c r="K127" s="476"/>
      <c r="L127" s="485"/>
      <c r="M127" s="476">
        <f t="shared" si="12"/>
        <v>0</v>
      </c>
      <c r="N127" s="485"/>
      <c r="O127" s="476">
        <f t="shared" si="13"/>
        <v>0</v>
      </c>
      <c r="P127" s="476">
        <f t="shared" si="14"/>
        <v>0</v>
      </c>
    </row>
    <row r="128" spans="2:16">
      <c r="B128" s="160" t="str">
        <f t="shared" si="19"/>
        <v/>
      </c>
      <c r="C128" s="470">
        <f>IF(D93="","-",+C127+1)</f>
        <v>2050</v>
      </c>
      <c r="D128" s="345">
        <f>IF(F127+SUM(E$99:E127)=D$92,F127,D$92-SUM(E$99:E127))</f>
        <v>411011</v>
      </c>
      <c r="E128" s="482">
        <f t="shared" si="20"/>
        <v>29359</v>
      </c>
      <c r="F128" s="483">
        <f t="shared" si="21"/>
        <v>381652</v>
      </c>
      <c r="G128" s="483">
        <f t="shared" si="22"/>
        <v>396331.5</v>
      </c>
      <c r="H128" s="611">
        <f t="shared" si="23"/>
        <v>74458.668351349595</v>
      </c>
      <c r="I128" s="612">
        <f t="shared" si="24"/>
        <v>74458.668351349595</v>
      </c>
      <c r="J128" s="476">
        <f t="shared" si="15"/>
        <v>0</v>
      </c>
      <c r="K128" s="476"/>
      <c r="L128" s="485"/>
      <c r="M128" s="476">
        <f t="shared" si="12"/>
        <v>0</v>
      </c>
      <c r="N128" s="485"/>
      <c r="O128" s="476">
        <f t="shared" si="13"/>
        <v>0</v>
      </c>
      <c r="P128" s="476">
        <f t="shared" si="14"/>
        <v>0</v>
      </c>
    </row>
    <row r="129" spans="2:16">
      <c r="B129" s="160" t="str">
        <f t="shared" si="19"/>
        <v/>
      </c>
      <c r="C129" s="470">
        <f>IF(D93="","-",+C128+1)</f>
        <v>2051</v>
      </c>
      <c r="D129" s="345">
        <f>IF(F128+SUM(E$99:E128)=D$92,F128,D$92-SUM(E$99:E128))</f>
        <v>381652</v>
      </c>
      <c r="E129" s="482">
        <f t="shared" si="20"/>
        <v>29359</v>
      </c>
      <c r="F129" s="483">
        <f t="shared" si="21"/>
        <v>352293</v>
      </c>
      <c r="G129" s="483">
        <f t="shared" si="22"/>
        <v>366972.5</v>
      </c>
      <c r="H129" s="611">
        <f t="shared" si="23"/>
        <v>71117.825740738859</v>
      </c>
      <c r="I129" s="612">
        <f t="shared" si="24"/>
        <v>71117.825740738859</v>
      </c>
      <c r="J129" s="476">
        <f t="shared" si="15"/>
        <v>0</v>
      </c>
      <c r="K129" s="476"/>
      <c r="L129" s="485"/>
      <c r="M129" s="476">
        <f t="shared" si="12"/>
        <v>0</v>
      </c>
      <c r="N129" s="485"/>
      <c r="O129" s="476">
        <f t="shared" si="13"/>
        <v>0</v>
      </c>
      <c r="P129" s="476">
        <f t="shared" si="14"/>
        <v>0</v>
      </c>
    </row>
    <row r="130" spans="2:16">
      <c r="B130" s="160" t="str">
        <f t="shared" si="19"/>
        <v/>
      </c>
      <c r="C130" s="470">
        <f>IF(D93="","-",+C129+1)</f>
        <v>2052</v>
      </c>
      <c r="D130" s="345">
        <f>IF(F129+SUM(E$99:E129)=D$92,F129,D$92-SUM(E$99:E129))</f>
        <v>352293</v>
      </c>
      <c r="E130" s="482">
        <f t="shared" si="20"/>
        <v>29359</v>
      </c>
      <c r="F130" s="483">
        <f t="shared" si="21"/>
        <v>322934</v>
      </c>
      <c r="G130" s="483">
        <f t="shared" si="22"/>
        <v>337613.5</v>
      </c>
      <c r="H130" s="611">
        <f t="shared" si="23"/>
        <v>67776.983130128108</v>
      </c>
      <c r="I130" s="612">
        <f t="shared" si="24"/>
        <v>67776.983130128108</v>
      </c>
      <c r="J130" s="476">
        <f t="shared" si="15"/>
        <v>0</v>
      </c>
      <c r="K130" s="476"/>
      <c r="L130" s="485"/>
      <c r="M130" s="476">
        <f t="shared" si="12"/>
        <v>0</v>
      </c>
      <c r="N130" s="485"/>
      <c r="O130" s="476">
        <f t="shared" si="13"/>
        <v>0</v>
      </c>
      <c r="P130" s="476">
        <f t="shared" si="14"/>
        <v>0</v>
      </c>
    </row>
    <row r="131" spans="2:16">
      <c r="B131" s="160" t="str">
        <f t="shared" si="19"/>
        <v/>
      </c>
      <c r="C131" s="470">
        <f>IF(D93="","-",+C130+1)</f>
        <v>2053</v>
      </c>
      <c r="D131" s="345">
        <f>IF(F130+SUM(E$99:E130)=D$92,F130,D$92-SUM(E$99:E130))</f>
        <v>322934</v>
      </c>
      <c r="E131" s="482">
        <f t="shared" si="20"/>
        <v>29359</v>
      </c>
      <c r="F131" s="483">
        <f t="shared" si="21"/>
        <v>293575</v>
      </c>
      <c r="G131" s="483">
        <f t="shared" si="22"/>
        <v>308254.5</v>
      </c>
      <c r="H131" s="611">
        <f t="shared" si="23"/>
        <v>64436.140519517357</v>
      </c>
      <c r="I131" s="612">
        <f t="shared" si="24"/>
        <v>64436.140519517357</v>
      </c>
      <c r="J131" s="476">
        <f t="shared" ref="J131:J154" si="25">+I541-H541</f>
        <v>0</v>
      </c>
      <c r="K131" s="476"/>
      <c r="L131" s="485"/>
      <c r="M131" s="476">
        <f t="shared" ref="M131:M154" si="26">IF(L541&lt;&gt;0,+H541-L541,0)</f>
        <v>0</v>
      </c>
      <c r="N131" s="485"/>
      <c r="O131" s="476">
        <f t="shared" ref="O131:O154" si="27">IF(N541&lt;&gt;0,+I541-N541,0)</f>
        <v>0</v>
      </c>
      <c r="P131" s="476">
        <f t="shared" ref="P131:P154" si="28">+O541-M541</f>
        <v>0</v>
      </c>
    </row>
    <row r="132" spans="2:16">
      <c r="B132" s="160" t="str">
        <f t="shared" si="19"/>
        <v/>
      </c>
      <c r="C132" s="470">
        <f>IF(D93="","-",+C131+1)</f>
        <v>2054</v>
      </c>
      <c r="D132" s="345">
        <f>IF(F131+SUM(E$99:E131)=D$92,F131,D$92-SUM(E$99:E131))</f>
        <v>293575</v>
      </c>
      <c r="E132" s="482">
        <f t="shared" si="20"/>
        <v>29359</v>
      </c>
      <c r="F132" s="483">
        <f t="shared" si="21"/>
        <v>264216</v>
      </c>
      <c r="G132" s="483">
        <f t="shared" si="22"/>
        <v>278895.5</v>
      </c>
      <c r="H132" s="611">
        <f t="shared" si="23"/>
        <v>61095.297908906614</v>
      </c>
      <c r="I132" s="612">
        <f t="shared" si="24"/>
        <v>61095.297908906614</v>
      </c>
      <c r="J132" s="476">
        <f t="shared" si="25"/>
        <v>0</v>
      </c>
      <c r="K132" s="476"/>
      <c r="L132" s="485"/>
      <c r="M132" s="476">
        <f t="shared" si="26"/>
        <v>0</v>
      </c>
      <c r="N132" s="485"/>
      <c r="O132" s="476">
        <f t="shared" si="27"/>
        <v>0</v>
      </c>
      <c r="P132" s="476">
        <f t="shared" si="28"/>
        <v>0</v>
      </c>
    </row>
    <row r="133" spans="2:16">
      <c r="B133" s="160" t="str">
        <f t="shared" si="19"/>
        <v/>
      </c>
      <c r="C133" s="470">
        <f>IF(D93="","-",+C132+1)</f>
        <v>2055</v>
      </c>
      <c r="D133" s="345">
        <f>IF(F132+SUM(E$99:E132)=D$92,F132,D$92-SUM(E$99:E132))</f>
        <v>264216</v>
      </c>
      <c r="E133" s="482">
        <f t="shared" si="20"/>
        <v>29359</v>
      </c>
      <c r="F133" s="483">
        <f t="shared" si="21"/>
        <v>234857</v>
      </c>
      <c r="G133" s="483">
        <f t="shared" si="22"/>
        <v>249536.5</v>
      </c>
      <c r="H133" s="611">
        <f t="shared" si="23"/>
        <v>57754.45529829587</v>
      </c>
      <c r="I133" s="612">
        <f t="shared" si="24"/>
        <v>57754.45529829587</v>
      </c>
      <c r="J133" s="476">
        <f t="shared" si="25"/>
        <v>0</v>
      </c>
      <c r="K133" s="476"/>
      <c r="L133" s="485"/>
      <c r="M133" s="476">
        <f t="shared" si="26"/>
        <v>0</v>
      </c>
      <c r="N133" s="485"/>
      <c r="O133" s="476">
        <f t="shared" si="27"/>
        <v>0</v>
      </c>
      <c r="P133" s="476">
        <f t="shared" si="28"/>
        <v>0</v>
      </c>
    </row>
    <row r="134" spans="2:16">
      <c r="B134" s="160" t="str">
        <f t="shared" si="19"/>
        <v/>
      </c>
      <c r="C134" s="470">
        <f>IF(D93="","-",+C133+1)</f>
        <v>2056</v>
      </c>
      <c r="D134" s="345">
        <f>IF(F133+SUM(E$99:E133)=D$92,F133,D$92-SUM(E$99:E133))</f>
        <v>234857</v>
      </c>
      <c r="E134" s="482">
        <f t="shared" si="20"/>
        <v>29359</v>
      </c>
      <c r="F134" s="483">
        <f t="shared" si="21"/>
        <v>205498</v>
      </c>
      <c r="G134" s="483">
        <f t="shared" si="22"/>
        <v>220177.5</v>
      </c>
      <c r="H134" s="611">
        <f t="shared" si="23"/>
        <v>54413.612687685119</v>
      </c>
      <c r="I134" s="612">
        <f t="shared" si="24"/>
        <v>54413.612687685119</v>
      </c>
      <c r="J134" s="476">
        <f t="shared" si="25"/>
        <v>0</v>
      </c>
      <c r="K134" s="476"/>
      <c r="L134" s="485"/>
      <c r="M134" s="476">
        <f t="shared" si="26"/>
        <v>0</v>
      </c>
      <c r="N134" s="485"/>
      <c r="O134" s="476">
        <f t="shared" si="27"/>
        <v>0</v>
      </c>
      <c r="P134" s="476">
        <f t="shared" si="28"/>
        <v>0</v>
      </c>
    </row>
    <row r="135" spans="2:16">
      <c r="B135" s="160" t="str">
        <f t="shared" si="19"/>
        <v/>
      </c>
      <c r="C135" s="470">
        <f>IF(D93="","-",+C134+1)</f>
        <v>2057</v>
      </c>
      <c r="D135" s="345">
        <f>IF(F134+SUM(E$99:E134)=D$92,F134,D$92-SUM(E$99:E134))</f>
        <v>205498</v>
      </c>
      <c r="E135" s="482">
        <f t="shared" si="20"/>
        <v>29359</v>
      </c>
      <c r="F135" s="483">
        <f t="shared" si="21"/>
        <v>176139</v>
      </c>
      <c r="G135" s="483">
        <f t="shared" si="22"/>
        <v>190818.5</v>
      </c>
      <c r="H135" s="611">
        <f t="shared" si="23"/>
        <v>51072.770077074376</v>
      </c>
      <c r="I135" s="612">
        <f t="shared" si="24"/>
        <v>51072.770077074376</v>
      </c>
      <c r="J135" s="476">
        <f t="shared" si="25"/>
        <v>0</v>
      </c>
      <c r="K135" s="476"/>
      <c r="L135" s="485"/>
      <c r="M135" s="476">
        <f t="shared" si="26"/>
        <v>0</v>
      </c>
      <c r="N135" s="485"/>
      <c r="O135" s="476">
        <f t="shared" si="27"/>
        <v>0</v>
      </c>
      <c r="P135" s="476">
        <f t="shared" si="28"/>
        <v>0</v>
      </c>
    </row>
    <row r="136" spans="2:16">
      <c r="B136" s="160" t="str">
        <f t="shared" si="19"/>
        <v/>
      </c>
      <c r="C136" s="470">
        <f>IF(D93="","-",+C135+1)</f>
        <v>2058</v>
      </c>
      <c r="D136" s="345">
        <f>IF(F135+SUM(E$99:E135)=D$92,F135,D$92-SUM(E$99:E135))</f>
        <v>176139</v>
      </c>
      <c r="E136" s="482">
        <f t="shared" si="20"/>
        <v>29359</v>
      </c>
      <c r="F136" s="483">
        <f t="shared" si="21"/>
        <v>146780</v>
      </c>
      <c r="G136" s="483">
        <f t="shared" si="22"/>
        <v>161459.5</v>
      </c>
      <c r="H136" s="611">
        <f t="shared" si="23"/>
        <v>47731.927466463632</v>
      </c>
      <c r="I136" s="612">
        <f t="shared" si="24"/>
        <v>47731.927466463632</v>
      </c>
      <c r="J136" s="476">
        <f t="shared" si="25"/>
        <v>0</v>
      </c>
      <c r="K136" s="476"/>
      <c r="L136" s="485"/>
      <c r="M136" s="476">
        <f t="shared" si="26"/>
        <v>0</v>
      </c>
      <c r="N136" s="485"/>
      <c r="O136" s="476">
        <f t="shared" si="27"/>
        <v>0</v>
      </c>
      <c r="P136" s="476">
        <f t="shared" si="28"/>
        <v>0</v>
      </c>
    </row>
    <row r="137" spans="2:16">
      <c r="B137" s="160" t="str">
        <f t="shared" si="19"/>
        <v/>
      </c>
      <c r="C137" s="470">
        <f>IF(D93="","-",+C136+1)</f>
        <v>2059</v>
      </c>
      <c r="D137" s="345">
        <f>IF(F136+SUM(E$99:E136)=D$92,F136,D$92-SUM(E$99:E136))</f>
        <v>146780</v>
      </c>
      <c r="E137" s="482">
        <f t="shared" si="20"/>
        <v>29359</v>
      </c>
      <c r="F137" s="483">
        <f t="shared" si="21"/>
        <v>117421</v>
      </c>
      <c r="G137" s="483">
        <f t="shared" si="22"/>
        <v>132100.5</v>
      </c>
      <c r="H137" s="611">
        <f t="shared" si="23"/>
        <v>44391.084855852881</v>
      </c>
      <c r="I137" s="612">
        <f t="shared" si="24"/>
        <v>44391.084855852881</v>
      </c>
      <c r="J137" s="476">
        <f t="shared" si="25"/>
        <v>0</v>
      </c>
      <c r="K137" s="476"/>
      <c r="L137" s="485"/>
      <c r="M137" s="476">
        <f t="shared" si="26"/>
        <v>0</v>
      </c>
      <c r="N137" s="485"/>
      <c r="O137" s="476">
        <f t="shared" si="27"/>
        <v>0</v>
      </c>
      <c r="P137" s="476">
        <f t="shared" si="28"/>
        <v>0</v>
      </c>
    </row>
    <row r="138" spans="2:16">
      <c r="B138" s="160" t="str">
        <f t="shared" si="19"/>
        <v/>
      </c>
      <c r="C138" s="470">
        <f>IF(D93="","-",+C137+1)</f>
        <v>2060</v>
      </c>
      <c r="D138" s="345">
        <f>IF(F137+SUM(E$99:E137)=D$92,F137,D$92-SUM(E$99:E137))</f>
        <v>117421</v>
      </c>
      <c r="E138" s="482">
        <f t="shared" si="20"/>
        <v>29359</v>
      </c>
      <c r="F138" s="483">
        <f t="shared" si="21"/>
        <v>88062</v>
      </c>
      <c r="G138" s="483">
        <f t="shared" si="22"/>
        <v>102741.5</v>
      </c>
      <c r="H138" s="611">
        <f t="shared" si="23"/>
        <v>41050.242245242138</v>
      </c>
      <c r="I138" s="612">
        <f t="shared" si="24"/>
        <v>41050.242245242138</v>
      </c>
      <c r="J138" s="476">
        <f t="shared" si="25"/>
        <v>0</v>
      </c>
      <c r="K138" s="476"/>
      <c r="L138" s="485"/>
      <c r="M138" s="476">
        <f t="shared" si="26"/>
        <v>0</v>
      </c>
      <c r="N138" s="485"/>
      <c r="O138" s="476">
        <f t="shared" si="27"/>
        <v>0</v>
      </c>
      <c r="P138" s="476">
        <f t="shared" si="28"/>
        <v>0</v>
      </c>
    </row>
    <row r="139" spans="2:16">
      <c r="B139" s="160" t="str">
        <f t="shared" si="19"/>
        <v/>
      </c>
      <c r="C139" s="470">
        <f>IF(D93="","-",+C138+1)</f>
        <v>2061</v>
      </c>
      <c r="D139" s="345">
        <f>IF(F138+SUM(E$99:E138)=D$92,F138,D$92-SUM(E$99:E138))</f>
        <v>88062</v>
      </c>
      <c r="E139" s="482">
        <f t="shared" si="20"/>
        <v>29359</v>
      </c>
      <c r="F139" s="483">
        <f t="shared" si="21"/>
        <v>58703</v>
      </c>
      <c r="G139" s="483">
        <f t="shared" si="22"/>
        <v>73382.5</v>
      </c>
      <c r="H139" s="611">
        <f t="shared" si="23"/>
        <v>37709.399634631394</v>
      </c>
      <c r="I139" s="612">
        <f t="shared" si="24"/>
        <v>37709.399634631394</v>
      </c>
      <c r="J139" s="476">
        <f t="shared" si="25"/>
        <v>0</v>
      </c>
      <c r="K139" s="476"/>
      <c r="L139" s="485"/>
      <c r="M139" s="476">
        <f t="shared" si="26"/>
        <v>0</v>
      </c>
      <c r="N139" s="485"/>
      <c r="O139" s="476">
        <f t="shared" si="27"/>
        <v>0</v>
      </c>
      <c r="P139" s="476">
        <f t="shared" si="28"/>
        <v>0</v>
      </c>
    </row>
    <row r="140" spans="2:16">
      <c r="B140" s="160" t="str">
        <f t="shared" si="19"/>
        <v/>
      </c>
      <c r="C140" s="470">
        <f>IF(D93="","-",+C139+1)</f>
        <v>2062</v>
      </c>
      <c r="D140" s="345">
        <f>IF(F139+SUM(E$99:E139)=D$92,F139,D$92-SUM(E$99:E139))</f>
        <v>58703</v>
      </c>
      <c r="E140" s="482">
        <f t="shared" si="20"/>
        <v>29359</v>
      </c>
      <c r="F140" s="483">
        <f t="shared" si="21"/>
        <v>29344</v>
      </c>
      <c r="G140" s="483">
        <f t="shared" si="22"/>
        <v>44023.5</v>
      </c>
      <c r="H140" s="611">
        <f t="shared" si="23"/>
        <v>34368.557024020643</v>
      </c>
      <c r="I140" s="612">
        <f t="shared" si="24"/>
        <v>34368.557024020643</v>
      </c>
      <c r="J140" s="476">
        <f t="shared" si="25"/>
        <v>0</v>
      </c>
      <c r="K140" s="476"/>
      <c r="L140" s="485"/>
      <c r="M140" s="476">
        <f t="shared" si="26"/>
        <v>0</v>
      </c>
      <c r="N140" s="485"/>
      <c r="O140" s="476">
        <f t="shared" si="27"/>
        <v>0</v>
      </c>
      <c r="P140" s="476">
        <f t="shared" si="28"/>
        <v>0</v>
      </c>
    </row>
    <row r="141" spans="2:16">
      <c r="B141" s="160" t="str">
        <f t="shared" si="19"/>
        <v/>
      </c>
      <c r="C141" s="470">
        <f>IF(D93="","-",+C140+1)</f>
        <v>2063</v>
      </c>
      <c r="D141" s="345">
        <f>IF(F140+SUM(E$99:E140)=D$92,F140,D$92-SUM(E$99:E140))</f>
        <v>29344</v>
      </c>
      <c r="E141" s="482">
        <f t="shared" si="20"/>
        <v>29344</v>
      </c>
      <c r="F141" s="483">
        <f t="shared" si="21"/>
        <v>0</v>
      </c>
      <c r="G141" s="483">
        <f t="shared" si="22"/>
        <v>14672</v>
      </c>
      <c r="H141" s="611">
        <f t="shared" si="23"/>
        <v>31013.567859357638</v>
      </c>
      <c r="I141" s="612">
        <f t="shared" si="24"/>
        <v>31013.567859357638</v>
      </c>
      <c r="J141" s="476">
        <f t="shared" si="25"/>
        <v>0</v>
      </c>
      <c r="K141" s="476"/>
      <c r="L141" s="485"/>
      <c r="M141" s="476">
        <f t="shared" si="26"/>
        <v>0</v>
      </c>
      <c r="N141" s="485"/>
      <c r="O141" s="476">
        <f t="shared" si="27"/>
        <v>0</v>
      </c>
      <c r="P141" s="476">
        <f t="shared" si="28"/>
        <v>0</v>
      </c>
    </row>
    <row r="142" spans="2:16">
      <c r="B142" s="160" t="str">
        <f t="shared" si="19"/>
        <v/>
      </c>
      <c r="C142" s="470">
        <f>IF(D93="","-",+C141+1)</f>
        <v>2064</v>
      </c>
      <c r="D142" s="345">
        <f>IF(F141+SUM(E$99:E141)=D$92,F141,D$92-SUM(E$99:E141))</f>
        <v>0</v>
      </c>
      <c r="E142" s="482">
        <f t="shared" si="20"/>
        <v>0</v>
      </c>
      <c r="F142" s="483">
        <f t="shared" si="21"/>
        <v>0</v>
      </c>
      <c r="G142" s="483">
        <f t="shared" si="22"/>
        <v>0</v>
      </c>
      <c r="H142" s="611">
        <f t="shared" si="23"/>
        <v>0</v>
      </c>
      <c r="I142" s="612">
        <f t="shared" si="24"/>
        <v>0</v>
      </c>
      <c r="J142" s="476">
        <f t="shared" si="25"/>
        <v>0</v>
      </c>
      <c r="K142" s="476"/>
      <c r="L142" s="485"/>
      <c r="M142" s="476">
        <f t="shared" si="26"/>
        <v>0</v>
      </c>
      <c r="N142" s="485"/>
      <c r="O142" s="476">
        <f t="shared" si="27"/>
        <v>0</v>
      </c>
      <c r="P142" s="476">
        <f t="shared" si="28"/>
        <v>0</v>
      </c>
    </row>
    <row r="143" spans="2:16">
      <c r="B143" s="160" t="str">
        <f t="shared" si="19"/>
        <v/>
      </c>
      <c r="C143" s="470">
        <f>IF(D93="","-",+C142+1)</f>
        <v>2065</v>
      </c>
      <c r="D143" s="345">
        <f>IF(F142+SUM(E$99:E142)=D$92,F142,D$92-SUM(E$99:E142))</f>
        <v>0</v>
      </c>
      <c r="E143" s="482">
        <f t="shared" si="20"/>
        <v>0</v>
      </c>
      <c r="F143" s="483">
        <f t="shared" si="21"/>
        <v>0</v>
      </c>
      <c r="G143" s="483">
        <f t="shared" si="22"/>
        <v>0</v>
      </c>
      <c r="H143" s="611">
        <f t="shared" si="23"/>
        <v>0</v>
      </c>
      <c r="I143" s="612">
        <f t="shared" si="24"/>
        <v>0</v>
      </c>
      <c r="J143" s="476">
        <f t="shared" si="25"/>
        <v>0</v>
      </c>
      <c r="K143" s="476"/>
      <c r="L143" s="485"/>
      <c r="M143" s="476">
        <f t="shared" si="26"/>
        <v>0</v>
      </c>
      <c r="N143" s="485"/>
      <c r="O143" s="476">
        <f t="shared" si="27"/>
        <v>0</v>
      </c>
      <c r="P143" s="476">
        <f t="shared" si="28"/>
        <v>0</v>
      </c>
    </row>
    <row r="144" spans="2:16">
      <c r="B144" s="160" t="str">
        <f t="shared" si="19"/>
        <v/>
      </c>
      <c r="C144" s="470">
        <f>IF(D93="","-",+C143+1)</f>
        <v>2066</v>
      </c>
      <c r="D144" s="345">
        <f>IF(F143+SUM(E$99:E143)=D$92,F143,D$92-SUM(E$99:E143))</f>
        <v>0</v>
      </c>
      <c r="E144" s="482">
        <f t="shared" si="20"/>
        <v>0</v>
      </c>
      <c r="F144" s="483">
        <f t="shared" si="21"/>
        <v>0</v>
      </c>
      <c r="G144" s="483">
        <f t="shared" si="22"/>
        <v>0</v>
      </c>
      <c r="H144" s="611">
        <f t="shared" si="23"/>
        <v>0</v>
      </c>
      <c r="I144" s="612">
        <f t="shared" si="24"/>
        <v>0</v>
      </c>
      <c r="J144" s="476">
        <f t="shared" si="25"/>
        <v>0</v>
      </c>
      <c r="K144" s="476"/>
      <c r="L144" s="485"/>
      <c r="M144" s="476">
        <f t="shared" si="26"/>
        <v>0</v>
      </c>
      <c r="N144" s="485"/>
      <c r="O144" s="476">
        <f t="shared" si="27"/>
        <v>0</v>
      </c>
      <c r="P144" s="476">
        <f t="shared" si="28"/>
        <v>0</v>
      </c>
    </row>
    <row r="145" spans="2:16">
      <c r="B145" s="160" t="str">
        <f t="shared" si="19"/>
        <v/>
      </c>
      <c r="C145" s="470">
        <f>IF(D93="","-",+C144+1)</f>
        <v>2067</v>
      </c>
      <c r="D145" s="345">
        <f>IF(F144+SUM(E$99:E144)=D$92,F144,D$92-SUM(E$99:E144))</f>
        <v>0</v>
      </c>
      <c r="E145" s="482">
        <f t="shared" si="20"/>
        <v>0</v>
      </c>
      <c r="F145" s="483">
        <f t="shared" si="21"/>
        <v>0</v>
      </c>
      <c r="G145" s="483">
        <f t="shared" si="22"/>
        <v>0</v>
      </c>
      <c r="H145" s="611">
        <f t="shared" si="23"/>
        <v>0</v>
      </c>
      <c r="I145" s="612">
        <f t="shared" si="24"/>
        <v>0</v>
      </c>
      <c r="J145" s="476">
        <f t="shared" si="25"/>
        <v>0</v>
      </c>
      <c r="K145" s="476"/>
      <c r="L145" s="485"/>
      <c r="M145" s="476">
        <f t="shared" si="26"/>
        <v>0</v>
      </c>
      <c r="N145" s="485"/>
      <c r="O145" s="476">
        <f t="shared" si="27"/>
        <v>0</v>
      </c>
      <c r="P145" s="476">
        <f t="shared" si="28"/>
        <v>0</v>
      </c>
    </row>
    <row r="146" spans="2:16">
      <c r="B146" s="160" t="str">
        <f t="shared" si="19"/>
        <v/>
      </c>
      <c r="C146" s="470">
        <f>IF(D93="","-",+C145+1)</f>
        <v>2068</v>
      </c>
      <c r="D146" s="345">
        <f>IF(F145+SUM(E$99:E145)=D$92,F145,D$92-SUM(E$99:E145))</f>
        <v>0</v>
      </c>
      <c r="E146" s="482">
        <f t="shared" si="20"/>
        <v>0</v>
      </c>
      <c r="F146" s="483">
        <f t="shared" si="21"/>
        <v>0</v>
      </c>
      <c r="G146" s="483">
        <f t="shared" si="22"/>
        <v>0</v>
      </c>
      <c r="H146" s="611">
        <f t="shared" si="23"/>
        <v>0</v>
      </c>
      <c r="I146" s="612">
        <f t="shared" si="24"/>
        <v>0</v>
      </c>
      <c r="J146" s="476">
        <f t="shared" si="25"/>
        <v>0</v>
      </c>
      <c r="K146" s="476"/>
      <c r="L146" s="485"/>
      <c r="M146" s="476">
        <f t="shared" si="26"/>
        <v>0</v>
      </c>
      <c r="N146" s="485"/>
      <c r="O146" s="476">
        <f t="shared" si="27"/>
        <v>0</v>
      </c>
      <c r="P146" s="476">
        <f t="shared" si="28"/>
        <v>0</v>
      </c>
    </row>
    <row r="147" spans="2:16">
      <c r="B147" s="160" t="str">
        <f t="shared" si="19"/>
        <v/>
      </c>
      <c r="C147" s="470">
        <f>IF(D93="","-",+C146+1)</f>
        <v>2069</v>
      </c>
      <c r="D147" s="345">
        <f>IF(F146+SUM(E$99:E146)=D$92,F146,D$92-SUM(E$99:E146))</f>
        <v>0</v>
      </c>
      <c r="E147" s="482">
        <f t="shared" si="20"/>
        <v>0</v>
      </c>
      <c r="F147" s="483">
        <f t="shared" si="21"/>
        <v>0</v>
      </c>
      <c r="G147" s="483">
        <f t="shared" si="22"/>
        <v>0</v>
      </c>
      <c r="H147" s="611">
        <f t="shared" si="23"/>
        <v>0</v>
      </c>
      <c r="I147" s="612">
        <f t="shared" si="24"/>
        <v>0</v>
      </c>
      <c r="J147" s="476">
        <f t="shared" si="25"/>
        <v>0</v>
      </c>
      <c r="K147" s="476"/>
      <c r="L147" s="485"/>
      <c r="M147" s="476">
        <f t="shared" si="26"/>
        <v>0</v>
      </c>
      <c r="N147" s="485"/>
      <c r="O147" s="476">
        <f t="shared" si="27"/>
        <v>0</v>
      </c>
      <c r="P147" s="476">
        <f t="shared" si="28"/>
        <v>0</v>
      </c>
    </row>
    <row r="148" spans="2:16">
      <c r="B148" s="160" t="str">
        <f t="shared" si="19"/>
        <v/>
      </c>
      <c r="C148" s="470">
        <f>IF(D93="","-",+C147+1)</f>
        <v>2070</v>
      </c>
      <c r="D148" s="345">
        <f>IF(F147+SUM(E$99:E147)=D$92,F147,D$92-SUM(E$99:E147))</f>
        <v>0</v>
      </c>
      <c r="E148" s="482">
        <f t="shared" si="20"/>
        <v>0</v>
      </c>
      <c r="F148" s="483">
        <f t="shared" si="21"/>
        <v>0</v>
      </c>
      <c r="G148" s="483">
        <f t="shared" si="22"/>
        <v>0</v>
      </c>
      <c r="H148" s="611">
        <f t="shared" si="23"/>
        <v>0</v>
      </c>
      <c r="I148" s="612">
        <f t="shared" si="24"/>
        <v>0</v>
      </c>
      <c r="J148" s="476">
        <f t="shared" si="25"/>
        <v>0</v>
      </c>
      <c r="K148" s="476"/>
      <c r="L148" s="485"/>
      <c r="M148" s="476">
        <f t="shared" si="26"/>
        <v>0</v>
      </c>
      <c r="N148" s="485"/>
      <c r="O148" s="476">
        <f t="shared" si="27"/>
        <v>0</v>
      </c>
      <c r="P148" s="476">
        <f t="shared" si="28"/>
        <v>0</v>
      </c>
    </row>
    <row r="149" spans="2:16">
      <c r="B149" s="160" t="str">
        <f t="shared" si="19"/>
        <v/>
      </c>
      <c r="C149" s="470">
        <f>IF(D93="","-",+C148+1)</f>
        <v>2071</v>
      </c>
      <c r="D149" s="345">
        <f>IF(F148+SUM(E$99:E148)=D$92,F148,D$92-SUM(E$99:E148))</f>
        <v>0</v>
      </c>
      <c r="E149" s="482">
        <f t="shared" si="20"/>
        <v>0</v>
      </c>
      <c r="F149" s="483">
        <f t="shared" si="21"/>
        <v>0</v>
      </c>
      <c r="G149" s="483">
        <f t="shared" si="22"/>
        <v>0</v>
      </c>
      <c r="H149" s="611">
        <f t="shared" si="23"/>
        <v>0</v>
      </c>
      <c r="I149" s="612">
        <f t="shared" si="24"/>
        <v>0</v>
      </c>
      <c r="J149" s="476">
        <f t="shared" si="25"/>
        <v>0</v>
      </c>
      <c r="K149" s="476"/>
      <c r="L149" s="485"/>
      <c r="M149" s="476">
        <f t="shared" si="26"/>
        <v>0</v>
      </c>
      <c r="N149" s="485"/>
      <c r="O149" s="476">
        <f t="shared" si="27"/>
        <v>0</v>
      </c>
      <c r="P149" s="476">
        <f t="shared" si="28"/>
        <v>0</v>
      </c>
    </row>
    <row r="150" spans="2:16">
      <c r="B150" s="160" t="str">
        <f t="shared" si="19"/>
        <v/>
      </c>
      <c r="C150" s="470">
        <f>IF(D93="","-",+C149+1)</f>
        <v>2072</v>
      </c>
      <c r="D150" s="345">
        <f>IF(F149+SUM(E$99:E149)=D$92,F149,D$92-SUM(E$99:E149))</f>
        <v>0</v>
      </c>
      <c r="E150" s="482">
        <f t="shared" si="20"/>
        <v>0</v>
      </c>
      <c r="F150" s="483">
        <f t="shared" si="21"/>
        <v>0</v>
      </c>
      <c r="G150" s="483">
        <f t="shared" si="22"/>
        <v>0</v>
      </c>
      <c r="H150" s="611">
        <f t="shared" si="23"/>
        <v>0</v>
      </c>
      <c r="I150" s="612">
        <f t="shared" si="24"/>
        <v>0</v>
      </c>
      <c r="J150" s="476">
        <f t="shared" si="25"/>
        <v>0</v>
      </c>
      <c r="K150" s="476"/>
      <c r="L150" s="485"/>
      <c r="M150" s="476">
        <f t="shared" si="26"/>
        <v>0</v>
      </c>
      <c r="N150" s="485"/>
      <c r="O150" s="476">
        <f t="shared" si="27"/>
        <v>0</v>
      </c>
      <c r="P150" s="476">
        <f t="shared" si="28"/>
        <v>0</v>
      </c>
    </row>
    <row r="151" spans="2:16">
      <c r="B151" s="160" t="str">
        <f t="shared" si="19"/>
        <v/>
      </c>
      <c r="C151" s="470">
        <f>IF(D93="","-",+C150+1)</f>
        <v>2073</v>
      </c>
      <c r="D151" s="345">
        <f>IF(F150+SUM(E$99:E150)=D$92,F150,D$92-SUM(E$99:E150))</f>
        <v>0</v>
      </c>
      <c r="E151" s="482">
        <f t="shared" si="20"/>
        <v>0</v>
      </c>
      <c r="F151" s="483">
        <f t="shared" si="21"/>
        <v>0</v>
      </c>
      <c r="G151" s="483">
        <f t="shared" si="22"/>
        <v>0</v>
      </c>
      <c r="H151" s="611">
        <f t="shared" si="23"/>
        <v>0</v>
      </c>
      <c r="I151" s="612">
        <f t="shared" si="24"/>
        <v>0</v>
      </c>
      <c r="J151" s="476">
        <f t="shared" si="25"/>
        <v>0</v>
      </c>
      <c r="K151" s="476"/>
      <c r="L151" s="485"/>
      <c r="M151" s="476">
        <f t="shared" si="26"/>
        <v>0</v>
      </c>
      <c r="N151" s="485"/>
      <c r="O151" s="476">
        <f t="shared" si="27"/>
        <v>0</v>
      </c>
      <c r="P151" s="476">
        <f t="shared" si="28"/>
        <v>0</v>
      </c>
    </row>
    <row r="152" spans="2:16">
      <c r="B152" s="160" t="str">
        <f t="shared" si="19"/>
        <v/>
      </c>
      <c r="C152" s="470">
        <f>IF(D93="","-",+C151+1)</f>
        <v>2074</v>
      </c>
      <c r="D152" s="345">
        <f>IF(F151+SUM(E$99:E151)=D$92,F151,D$92-SUM(E$99:E151))</f>
        <v>0</v>
      </c>
      <c r="E152" s="482">
        <f t="shared" si="20"/>
        <v>0</v>
      </c>
      <c r="F152" s="483">
        <f t="shared" si="21"/>
        <v>0</v>
      </c>
      <c r="G152" s="483">
        <f t="shared" si="22"/>
        <v>0</v>
      </c>
      <c r="H152" s="611">
        <f t="shared" si="23"/>
        <v>0</v>
      </c>
      <c r="I152" s="612">
        <f t="shared" si="24"/>
        <v>0</v>
      </c>
      <c r="J152" s="476">
        <f t="shared" si="25"/>
        <v>0</v>
      </c>
      <c r="K152" s="476"/>
      <c r="L152" s="485"/>
      <c r="M152" s="476">
        <f t="shared" si="26"/>
        <v>0</v>
      </c>
      <c r="N152" s="485"/>
      <c r="O152" s="476">
        <f t="shared" si="27"/>
        <v>0</v>
      </c>
      <c r="P152" s="476">
        <f t="shared" si="28"/>
        <v>0</v>
      </c>
    </row>
    <row r="153" spans="2:16">
      <c r="B153" s="160" t="str">
        <f t="shared" si="19"/>
        <v/>
      </c>
      <c r="C153" s="470">
        <f>IF(D93="","-",+C152+1)</f>
        <v>2075</v>
      </c>
      <c r="D153" s="345">
        <f>IF(F152+SUM(E$99:E152)=D$92,F152,D$92-SUM(E$99:E152))</f>
        <v>0</v>
      </c>
      <c r="E153" s="482">
        <f t="shared" si="20"/>
        <v>0</v>
      </c>
      <c r="F153" s="483">
        <f t="shared" si="21"/>
        <v>0</v>
      </c>
      <c r="G153" s="483">
        <f t="shared" si="22"/>
        <v>0</v>
      </c>
      <c r="H153" s="611">
        <f t="shared" si="23"/>
        <v>0</v>
      </c>
      <c r="I153" s="612">
        <f t="shared" si="24"/>
        <v>0</v>
      </c>
      <c r="J153" s="476">
        <f t="shared" si="25"/>
        <v>0</v>
      </c>
      <c r="K153" s="476"/>
      <c r="L153" s="485"/>
      <c r="M153" s="476">
        <f t="shared" si="26"/>
        <v>0</v>
      </c>
      <c r="N153" s="485"/>
      <c r="O153" s="476">
        <f t="shared" si="27"/>
        <v>0</v>
      </c>
      <c r="P153" s="476">
        <f t="shared" si="28"/>
        <v>0</v>
      </c>
    </row>
    <row r="154" spans="2:16" ht="13.5" thickBot="1">
      <c r="B154" s="160" t="str">
        <f t="shared" si="19"/>
        <v/>
      </c>
      <c r="C154" s="487">
        <f>IF(D93="","-",+C153+1)</f>
        <v>2076</v>
      </c>
      <c r="D154" s="541">
        <f>IF(F153+SUM(E$99:E153)=D$92,F153,D$92-SUM(E$99:E153))</f>
        <v>0</v>
      </c>
      <c r="E154" s="489">
        <f t="shared" si="20"/>
        <v>0</v>
      </c>
      <c r="F154" s="488">
        <f t="shared" si="21"/>
        <v>0</v>
      </c>
      <c r="G154" s="488">
        <f t="shared" si="22"/>
        <v>0</v>
      </c>
      <c r="H154" s="613">
        <f t="shared" si="23"/>
        <v>0</v>
      </c>
      <c r="I154" s="614">
        <f t="shared" si="24"/>
        <v>0</v>
      </c>
      <c r="J154" s="493">
        <f t="shared" si="25"/>
        <v>0</v>
      </c>
      <c r="K154" s="476"/>
      <c r="L154" s="492"/>
      <c r="M154" s="493">
        <f t="shared" si="26"/>
        <v>0</v>
      </c>
      <c r="N154" s="492"/>
      <c r="O154" s="493">
        <f t="shared" si="27"/>
        <v>0</v>
      </c>
      <c r="P154" s="493">
        <f t="shared" si="28"/>
        <v>0</v>
      </c>
    </row>
    <row r="155" spans="2:16">
      <c r="C155" s="345" t="s">
        <v>77</v>
      </c>
      <c r="D155" s="346"/>
      <c r="E155" s="346">
        <f>SUM(E99:E154)</f>
        <v>1203704</v>
      </c>
      <c r="F155" s="346"/>
      <c r="G155" s="346"/>
      <c r="H155" s="346">
        <f>SUM(H99:H154)</f>
        <v>4013308.4223274472</v>
      </c>
      <c r="I155" s="346">
        <f>SUM(I99:I154)</f>
        <v>4013308.4223274472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148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11" priority="1" stopIfTrue="1" operator="equal">
      <formula>$I$10</formula>
    </cfRule>
  </conditionalFormatting>
  <conditionalFormatting sqref="C99:C154">
    <cfRule type="cellIs" dxfId="10" priority="2" stopIfTrue="1" operator="equal">
      <formula>$J$92</formula>
    </cfRule>
  </conditionalFormatting>
  <pageMargins left="0.5" right="0.25" top="1" bottom="0.5" header="0.25" footer="0.5"/>
  <pageSetup scale="47" orientation="landscape" r:id="rId1"/>
  <headerFooter>
    <oddHeader xml:space="preserve">&amp;R&amp;18AEP - SPP Formula Rate
PSO TCOS - Worksheets F and G
Section IV -- (BPU Project Tables)
Page: &amp;P of &amp;N
</oddHeader>
    <oddFooter>&amp;L&amp;A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162"/>
  <sheetViews>
    <sheetView topLeftCell="A83" zoomScale="80" zoomScaleNormal="80" workbookViewId="0">
      <selection activeCell="J99" sqref="J99"/>
    </sheetView>
  </sheetViews>
  <sheetFormatPr defaultColWidth="8.7109375" defaultRowHeight="12.75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30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241650.66247029093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241650.66247029093</v>
      </c>
      <c r="O6" s="231"/>
      <c r="P6" s="231"/>
    </row>
    <row r="7" spans="1:16" ht="13.5" thickBot="1">
      <c r="C7" s="429" t="s">
        <v>46</v>
      </c>
      <c r="D7" s="620" t="s">
        <v>371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4"/>
      <c r="E8" s="436"/>
      <c r="F8" s="436"/>
      <c r="G8" s="436"/>
      <c r="H8" s="436"/>
      <c r="I8" s="436"/>
      <c r="J8" s="625"/>
      <c r="K8" s="436"/>
      <c r="L8" s="436"/>
      <c r="M8" s="436"/>
      <c r="N8" s="436"/>
      <c r="O8" s="625"/>
      <c r="P8" s="310"/>
    </row>
    <row r="9" spans="1:16" ht="13.5" thickBot="1">
      <c r="C9" s="438" t="s">
        <v>48</v>
      </c>
      <c r="D9" s="439" t="s">
        <v>372</v>
      </c>
      <c r="E9" s="621" t="s">
        <v>373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1822549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2021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11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47961.815789473687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3.5" thickBot="1">
      <c r="B17" s="160"/>
      <c r="C17" s="470">
        <f>IF(D11= "","-",D11)</f>
        <v>2021</v>
      </c>
      <c r="D17" s="582">
        <v>0</v>
      </c>
      <c r="E17" s="583">
        <v>0</v>
      </c>
      <c r="F17" s="582">
        <v>1613510.2261904762</v>
      </c>
      <c r="G17" s="583">
        <v>0</v>
      </c>
      <c r="H17" s="585">
        <v>0</v>
      </c>
      <c r="I17" s="65">
        <f>H17-G17</f>
        <v>0</v>
      </c>
      <c r="J17" s="473"/>
      <c r="K17" s="552">
        <f>+G17</f>
        <v>0</v>
      </c>
      <c r="L17" s="475">
        <f t="shared" ref="L17:L72" si="0">IF(K17&lt;&gt;0,+G17-K17,0)</f>
        <v>0</v>
      </c>
      <c r="M17" s="552">
        <f>+H17</f>
        <v>0</v>
      </c>
      <c r="N17" s="475">
        <f t="shared" ref="N17:N72" si="1">IF(M17&lt;&gt;0,+H17-M17,0)</f>
        <v>0</v>
      </c>
      <c r="O17" s="476">
        <f t="shared" ref="O17:O72" si="2">+N17-L17</f>
        <v>0</v>
      </c>
      <c r="P17" s="241"/>
    </row>
    <row r="18" spans="2:16" ht="13.5" thickBot="1">
      <c r="B18" s="160" t="str">
        <f>IF(D18=F17,"","IU")</f>
        <v>IU</v>
      </c>
      <c r="C18" s="470">
        <f>IF(D11="","-",+C17+1)</f>
        <v>2022</v>
      </c>
      <c r="D18" s="582">
        <v>1865411</v>
      </c>
      <c r="E18" s="583">
        <v>47831.051282051281</v>
      </c>
      <c r="F18" s="582">
        <v>1817579.9487179487</v>
      </c>
      <c r="G18" s="583">
        <v>267630.01874077739</v>
      </c>
      <c r="H18" s="585">
        <v>267630.01874077739</v>
      </c>
      <c r="I18" s="65">
        <f>H18-G18</f>
        <v>0</v>
      </c>
      <c r="J18" s="473"/>
      <c r="K18" s="552">
        <f>+G18</f>
        <v>267630.01874077739</v>
      </c>
      <c r="L18" s="475">
        <f t="shared" ref="L18:L19" si="3">IF(K18&lt;&gt;0,+G18-K18,0)</f>
        <v>0</v>
      </c>
      <c r="M18" s="552">
        <f>+H18</f>
        <v>267630.01874077739</v>
      </c>
      <c r="N18" s="475">
        <f t="shared" ref="N18:N19" si="4">IF(M18&lt;&gt;0,+H18-M18,0)</f>
        <v>0</v>
      </c>
      <c r="O18" s="476">
        <f t="shared" ref="O18:O19" si="5">+N18-L18</f>
        <v>0</v>
      </c>
      <c r="P18" s="241"/>
    </row>
    <row r="19" spans="2:16">
      <c r="B19" s="160" t="str">
        <f>IF(D19=F18,"","IU")</f>
        <v/>
      </c>
      <c r="C19" s="470">
        <f>IF(D11="","-",+C18+1)</f>
        <v>2023</v>
      </c>
      <c r="D19" s="582">
        <v>1817579.9487179487</v>
      </c>
      <c r="E19" s="583">
        <v>47831.051282051281</v>
      </c>
      <c r="F19" s="582">
        <v>1769748.8974358975</v>
      </c>
      <c r="G19" s="583">
        <v>261920.95465094032</v>
      </c>
      <c r="H19" s="585">
        <v>261920.95465094032</v>
      </c>
      <c r="I19" s="65">
        <f t="shared" ref="I19:I71" si="6">H19-G19</f>
        <v>0</v>
      </c>
      <c r="J19" s="473"/>
      <c r="K19" s="552">
        <f>+G19</f>
        <v>261920.95465094032</v>
      </c>
      <c r="L19" s="475">
        <f t="shared" si="3"/>
        <v>0</v>
      </c>
      <c r="M19" s="552">
        <f>+H19</f>
        <v>261920.95465094032</v>
      </c>
      <c r="N19" s="475">
        <f t="shared" si="4"/>
        <v>0</v>
      </c>
      <c r="O19" s="476">
        <f t="shared" si="5"/>
        <v>0</v>
      </c>
      <c r="P19" s="241"/>
    </row>
    <row r="20" spans="2:16">
      <c r="B20" s="160" t="str">
        <f t="shared" ref="B20:B72" si="7">IF(D20=F19,"","IU")</f>
        <v>IU</v>
      </c>
      <c r="C20" s="631">
        <f>IF(D11="","-",+C19+1)</f>
        <v>2024</v>
      </c>
      <c r="D20" s="71">
        <f>IF(F19+SUM(E$17:E19)=D$10,F19,D$10-SUM(E$17:E19))</f>
        <v>1726886.8974358975</v>
      </c>
      <c r="E20" s="69">
        <f t="shared" ref="E20:E71" si="8">IF(+I$14&lt;F19,I$14,D20)</f>
        <v>47961.815789473687</v>
      </c>
      <c r="F20" s="68">
        <f t="shared" ref="F20:F71" si="9">+D20-E20</f>
        <v>1678925.0816464238</v>
      </c>
      <c r="G20" s="70">
        <f t="shared" ref="G20:G71" si="10">(D20+F20)/2*I$12+E20</f>
        <v>241650.66247029093</v>
      </c>
      <c r="H20" s="52">
        <f t="shared" ref="H20:H71" si="11">+(D20+F20)/2*I$13+E20</f>
        <v>241650.66247029093</v>
      </c>
      <c r="I20" s="65">
        <f t="shared" si="6"/>
        <v>0</v>
      </c>
      <c r="J20" s="473"/>
      <c r="K20" s="485"/>
      <c r="L20" s="476">
        <f t="shared" si="0"/>
        <v>0</v>
      </c>
      <c r="M20" s="485"/>
      <c r="N20" s="476">
        <f t="shared" si="1"/>
        <v>0</v>
      </c>
      <c r="O20" s="476">
        <f t="shared" si="2"/>
        <v>0</v>
      </c>
      <c r="P20" s="241"/>
    </row>
    <row r="21" spans="2:16">
      <c r="B21" s="160" t="str">
        <f t="shared" si="7"/>
        <v/>
      </c>
      <c r="C21" s="470">
        <f>IF(D11="","-",+C20+1)</f>
        <v>2025</v>
      </c>
      <c r="D21" s="71">
        <f>IF(F20+SUM(E$17:E20)=D$10,F20,D$10-SUM(E$17:E20))</f>
        <v>1678925.0816464238</v>
      </c>
      <c r="E21" s="69">
        <f t="shared" si="8"/>
        <v>47961.815789473687</v>
      </c>
      <c r="F21" s="68">
        <f t="shared" si="9"/>
        <v>1630963.2658569501</v>
      </c>
      <c r="G21" s="70">
        <f t="shared" si="10"/>
        <v>236195.47654573849</v>
      </c>
      <c r="H21" s="52">
        <f t="shared" si="11"/>
        <v>236195.47654573849</v>
      </c>
      <c r="I21" s="65">
        <f t="shared" si="6"/>
        <v>0</v>
      </c>
      <c r="J21" s="473"/>
      <c r="K21" s="485"/>
      <c r="L21" s="476">
        <f t="shared" si="0"/>
        <v>0</v>
      </c>
      <c r="M21" s="485"/>
      <c r="N21" s="476">
        <f t="shared" si="1"/>
        <v>0</v>
      </c>
      <c r="O21" s="476">
        <f t="shared" si="2"/>
        <v>0</v>
      </c>
      <c r="P21" s="241"/>
    </row>
    <row r="22" spans="2:16">
      <c r="B22" s="160" t="str">
        <f t="shared" si="7"/>
        <v/>
      </c>
      <c r="C22" s="470">
        <f>IF(D11="","-",+C21+1)</f>
        <v>2026</v>
      </c>
      <c r="D22" s="71">
        <f>IF(F21+SUM(E$17:E21)=D$10,F21,D$10-SUM(E$17:E21))</f>
        <v>1630963.2658569501</v>
      </c>
      <c r="E22" s="69">
        <f t="shared" si="8"/>
        <v>47961.815789473687</v>
      </c>
      <c r="F22" s="68">
        <f t="shared" si="9"/>
        <v>1583001.4500674764</v>
      </c>
      <c r="G22" s="70">
        <f t="shared" si="10"/>
        <v>230740.29062118605</v>
      </c>
      <c r="H22" s="52">
        <f t="shared" si="11"/>
        <v>230740.29062118605</v>
      </c>
      <c r="I22" s="65">
        <f t="shared" si="6"/>
        <v>0</v>
      </c>
      <c r="J22" s="473"/>
      <c r="K22" s="485"/>
      <c r="L22" s="476">
        <f t="shared" si="0"/>
        <v>0</v>
      </c>
      <c r="M22" s="485"/>
      <c r="N22" s="476">
        <f t="shared" si="1"/>
        <v>0</v>
      </c>
      <c r="O22" s="476">
        <f t="shared" si="2"/>
        <v>0</v>
      </c>
      <c r="P22" s="241"/>
    </row>
    <row r="23" spans="2:16">
      <c r="B23" s="160" t="str">
        <f t="shared" si="7"/>
        <v/>
      </c>
      <c r="C23" s="470">
        <f>IF(D11="","-",+C22+1)</f>
        <v>2027</v>
      </c>
      <c r="D23" s="71">
        <f>IF(F22+SUM(E$17:E22)=D$10,F22,D$10-SUM(E$17:E22))</f>
        <v>1583001.4500674764</v>
      </c>
      <c r="E23" s="69">
        <f t="shared" si="8"/>
        <v>47961.815789473687</v>
      </c>
      <c r="F23" s="68">
        <f t="shared" si="9"/>
        <v>1535039.6342780027</v>
      </c>
      <c r="G23" s="70">
        <f t="shared" si="10"/>
        <v>225285.10469663361</v>
      </c>
      <c r="H23" s="52">
        <f t="shared" si="11"/>
        <v>225285.10469663361</v>
      </c>
      <c r="I23" s="65">
        <f t="shared" si="6"/>
        <v>0</v>
      </c>
      <c r="J23" s="473"/>
      <c r="K23" s="485"/>
      <c r="L23" s="476">
        <f t="shared" si="0"/>
        <v>0</v>
      </c>
      <c r="M23" s="485"/>
      <c r="N23" s="476">
        <f t="shared" si="1"/>
        <v>0</v>
      </c>
      <c r="O23" s="476">
        <f t="shared" si="2"/>
        <v>0</v>
      </c>
      <c r="P23" s="241"/>
    </row>
    <row r="24" spans="2:16">
      <c r="B24" s="160" t="str">
        <f t="shared" si="7"/>
        <v/>
      </c>
      <c r="C24" s="470">
        <f>IF(D11="","-",+C23+1)</f>
        <v>2028</v>
      </c>
      <c r="D24" s="71">
        <f>IF(F23+SUM(E$17:E23)=D$10,F23,D$10-SUM(E$17:E23))</f>
        <v>1535039.6342780027</v>
      </c>
      <c r="E24" s="69">
        <f t="shared" si="8"/>
        <v>47961.815789473687</v>
      </c>
      <c r="F24" s="68">
        <f t="shared" si="9"/>
        <v>1487077.818488529</v>
      </c>
      <c r="G24" s="70">
        <f t="shared" si="10"/>
        <v>219829.9187720812</v>
      </c>
      <c r="H24" s="52">
        <f t="shared" si="11"/>
        <v>219829.9187720812</v>
      </c>
      <c r="I24" s="65">
        <f t="shared" si="6"/>
        <v>0</v>
      </c>
      <c r="J24" s="473"/>
      <c r="K24" s="485"/>
      <c r="L24" s="476">
        <f t="shared" si="0"/>
        <v>0</v>
      </c>
      <c r="M24" s="485"/>
      <c r="N24" s="476">
        <f t="shared" si="1"/>
        <v>0</v>
      </c>
      <c r="O24" s="476">
        <f t="shared" si="2"/>
        <v>0</v>
      </c>
      <c r="P24" s="241"/>
    </row>
    <row r="25" spans="2:16">
      <c r="B25" s="160" t="str">
        <f t="shared" si="7"/>
        <v/>
      </c>
      <c r="C25" s="470">
        <f>IF(D11="","-",+C24+1)</f>
        <v>2029</v>
      </c>
      <c r="D25" s="71">
        <f>IF(F24+SUM(E$17:E24)=D$10,F24,D$10-SUM(E$17:E24))</f>
        <v>1487077.818488529</v>
      </c>
      <c r="E25" s="69">
        <f t="shared" si="8"/>
        <v>47961.815789473687</v>
      </c>
      <c r="F25" s="68">
        <f t="shared" si="9"/>
        <v>1439116.0026990552</v>
      </c>
      <c r="G25" s="70">
        <f t="shared" si="10"/>
        <v>214374.73284752876</v>
      </c>
      <c r="H25" s="52">
        <f t="shared" si="11"/>
        <v>214374.73284752876</v>
      </c>
      <c r="I25" s="65">
        <f t="shared" si="6"/>
        <v>0</v>
      </c>
      <c r="J25" s="473"/>
      <c r="K25" s="485"/>
      <c r="L25" s="476">
        <f t="shared" si="0"/>
        <v>0</v>
      </c>
      <c r="M25" s="485"/>
      <c r="N25" s="476">
        <f t="shared" si="1"/>
        <v>0</v>
      </c>
      <c r="O25" s="476">
        <f t="shared" si="2"/>
        <v>0</v>
      </c>
      <c r="P25" s="241"/>
    </row>
    <row r="26" spans="2:16">
      <c r="B26" s="160" t="str">
        <f t="shared" si="7"/>
        <v/>
      </c>
      <c r="C26" s="470">
        <f>IF(D11="","-",+C25+1)</f>
        <v>2030</v>
      </c>
      <c r="D26" s="71">
        <f>IF(F25+SUM(E$17:E25)=D$10,F25,D$10-SUM(E$17:E25))</f>
        <v>1439116.0026990552</v>
      </c>
      <c r="E26" s="69">
        <f t="shared" si="8"/>
        <v>47961.815789473687</v>
      </c>
      <c r="F26" s="68">
        <f t="shared" si="9"/>
        <v>1391154.1869095815</v>
      </c>
      <c r="G26" s="70">
        <f t="shared" si="10"/>
        <v>208919.54692297633</v>
      </c>
      <c r="H26" s="52">
        <f t="shared" si="11"/>
        <v>208919.54692297633</v>
      </c>
      <c r="I26" s="65">
        <f t="shared" si="6"/>
        <v>0</v>
      </c>
      <c r="J26" s="473"/>
      <c r="K26" s="485"/>
      <c r="L26" s="476">
        <f t="shared" si="0"/>
        <v>0</v>
      </c>
      <c r="M26" s="485"/>
      <c r="N26" s="476">
        <f t="shared" si="1"/>
        <v>0</v>
      </c>
      <c r="O26" s="476">
        <f t="shared" si="2"/>
        <v>0</v>
      </c>
      <c r="P26" s="241"/>
    </row>
    <row r="27" spans="2:16">
      <c r="B27" s="160" t="str">
        <f t="shared" si="7"/>
        <v/>
      </c>
      <c r="C27" s="470">
        <f>IF(D11="","-",+C26+1)</f>
        <v>2031</v>
      </c>
      <c r="D27" s="71">
        <f>IF(F26+SUM(E$17:E26)=D$10,F26,D$10-SUM(E$17:E26))</f>
        <v>1391154.1869095815</v>
      </c>
      <c r="E27" s="69">
        <f t="shared" si="8"/>
        <v>47961.815789473687</v>
      </c>
      <c r="F27" s="68">
        <f t="shared" si="9"/>
        <v>1343192.3711201078</v>
      </c>
      <c r="G27" s="70">
        <f t="shared" si="10"/>
        <v>203464.36099842389</v>
      </c>
      <c r="H27" s="52">
        <f t="shared" si="11"/>
        <v>203464.36099842389</v>
      </c>
      <c r="I27" s="65">
        <f t="shared" si="6"/>
        <v>0</v>
      </c>
      <c r="J27" s="473"/>
      <c r="K27" s="485"/>
      <c r="L27" s="476">
        <f t="shared" si="0"/>
        <v>0</v>
      </c>
      <c r="M27" s="485"/>
      <c r="N27" s="476">
        <f t="shared" si="1"/>
        <v>0</v>
      </c>
      <c r="O27" s="476">
        <f t="shared" si="2"/>
        <v>0</v>
      </c>
      <c r="P27" s="241"/>
    </row>
    <row r="28" spans="2:16">
      <c r="B28" s="160" t="str">
        <f t="shared" si="7"/>
        <v/>
      </c>
      <c r="C28" s="470">
        <f>IF(D11="","-",+C27+1)</f>
        <v>2032</v>
      </c>
      <c r="D28" s="71">
        <f>IF(F27+SUM(E$17:E27)=D$10,F27,D$10-SUM(E$17:E27))</f>
        <v>1343192.3711201078</v>
      </c>
      <c r="E28" s="69">
        <f t="shared" si="8"/>
        <v>47961.815789473687</v>
      </c>
      <c r="F28" s="68">
        <f t="shared" si="9"/>
        <v>1295230.5553306341</v>
      </c>
      <c r="G28" s="70">
        <f t="shared" si="10"/>
        <v>198009.17507387145</v>
      </c>
      <c r="H28" s="52">
        <f t="shared" si="11"/>
        <v>198009.17507387145</v>
      </c>
      <c r="I28" s="65">
        <f t="shared" si="6"/>
        <v>0</v>
      </c>
      <c r="J28" s="473"/>
      <c r="K28" s="485"/>
      <c r="L28" s="476">
        <f t="shared" si="0"/>
        <v>0</v>
      </c>
      <c r="M28" s="485"/>
      <c r="N28" s="476">
        <f t="shared" si="1"/>
        <v>0</v>
      </c>
      <c r="O28" s="476">
        <f t="shared" si="2"/>
        <v>0</v>
      </c>
      <c r="P28" s="241"/>
    </row>
    <row r="29" spans="2:16">
      <c r="B29" s="160" t="str">
        <f t="shared" si="7"/>
        <v/>
      </c>
      <c r="C29" s="470">
        <f>IF(D11="","-",+C28+1)</f>
        <v>2033</v>
      </c>
      <c r="D29" s="71">
        <f>IF(F28+SUM(E$17:E28)=D$10,F28,D$10-SUM(E$17:E28))</f>
        <v>1295230.5553306341</v>
      </c>
      <c r="E29" s="69">
        <f t="shared" si="8"/>
        <v>47961.815789473687</v>
      </c>
      <c r="F29" s="68">
        <f t="shared" si="9"/>
        <v>1247268.7395411604</v>
      </c>
      <c r="G29" s="70">
        <f t="shared" si="10"/>
        <v>192553.98914931904</v>
      </c>
      <c r="H29" s="52">
        <f t="shared" si="11"/>
        <v>192553.98914931904</v>
      </c>
      <c r="I29" s="65">
        <f t="shared" si="6"/>
        <v>0</v>
      </c>
      <c r="J29" s="473"/>
      <c r="K29" s="485"/>
      <c r="L29" s="476">
        <f t="shared" si="0"/>
        <v>0</v>
      </c>
      <c r="M29" s="485"/>
      <c r="N29" s="476">
        <f t="shared" si="1"/>
        <v>0</v>
      </c>
      <c r="O29" s="476">
        <f t="shared" si="2"/>
        <v>0</v>
      </c>
      <c r="P29" s="241"/>
    </row>
    <row r="30" spans="2:16">
      <c r="B30" s="160" t="str">
        <f t="shared" si="7"/>
        <v/>
      </c>
      <c r="C30" s="470">
        <f>IF(D11="","-",+C29+1)</f>
        <v>2034</v>
      </c>
      <c r="D30" s="71">
        <f>IF(F29+SUM(E$17:E29)=D$10,F29,D$10-SUM(E$17:E29))</f>
        <v>1247268.7395411604</v>
      </c>
      <c r="E30" s="69">
        <f t="shared" si="8"/>
        <v>47961.815789473687</v>
      </c>
      <c r="F30" s="68">
        <f t="shared" si="9"/>
        <v>1199306.9237516867</v>
      </c>
      <c r="G30" s="70">
        <f t="shared" si="10"/>
        <v>187098.8032247666</v>
      </c>
      <c r="H30" s="52">
        <f t="shared" si="11"/>
        <v>187098.8032247666</v>
      </c>
      <c r="I30" s="65">
        <f t="shared" si="6"/>
        <v>0</v>
      </c>
      <c r="J30" s="473"/>
      <c r="K30" s="485"/>
      <c r="L30" s="476">
        <f t="shared" si="0"/>
        <v>0</v>
      </c>
      <c r="M30" s="485"/>
      <c r="N30" s="476">
        <f t="shared" si="1"/>
        <v>0</v>
      </c>
      <c r="O30" s="476">
        <f t="shared" si="2"/>
        <v>0</v>
      </c>
      <c r="P30" s="241"/>
    </row>
    <row r="31" spans="2:16">
      <c r="B31" s="160" t="str">
        <f t="shared" si="7"/>
        <v/>
      </c>
      <c r="C31" s="470">
        <f>IF(D11="","-",+C30+1)</f>
        <v>2035</v>
      </c>
      <c r="D31" s="71">
        <f>IF(F30+SUM(E$17:E30)=D$10,F30,D$10-SUM(E$17:E30))</f>
        <v>1199306.9237516867</v>
      </c>
      <c r="E31" s="69">
        <f t="shared" si="8"/>
        <v>47961.815789473687</v>
      </c>
      <c r="F31" s="68">
        <f t="shared" si="9"/>
        <v>1151345.107962213</v>
      </c>
      <c r="G31" s="70">
        <f t="shared" si="10"/>
        <v>181643.61730021416</v>
      </c>
      <c r="H31" s="52">
        <f t="shared" si="11"/>
        <v>181643.61730021416</v>
      </c>
      <c r="I31" s="65">
        <f t="shared" si="6"/>
        <v>0</v>
      </c>
      <c r="J31" s="473"/>
      <c r="K31" s="485"/>
      <c r="L31" s="476">
        <f t="shared" si="0"/>
        <v>0</v>
      </c>
      <c r="M31" s="485"/>
      <c r="N31" s="476">
        <f t="shared" si="1"/>
        <v>0</v>
      </c>
      <c r="O31" s="476">
        <f t="shared" si="2"/>
        <v>0</v>
      </c>
      <c r="P31" s="241"/>
    </row>
    <row r="32" spans="2:16">
      <c r="B32" s="160" t="str">
        <f t="shared" si="7"/>
        <v/>
      </c>
      <c r="C32" s="470">
        <f>IF(D11="","-",+C31+1)</f>
        <v>2036</v>
      </c>
      <c r="D32" s="71">
        <f>IF(F31+SUM(E$17:E31)=D$10,F31,D$10-SUM(E$17:E31))</f>
        <v>1151345.107962213</v>
      </c>
      <c r="E32" s="69">
        <f t="shared" si="8"/>
        <v>47961.815789473687</v>
      </c>
      <c r="F32" s="68">
        <f t="shared" si="9"/>
        <v>1103383.2921727393</v>
      </c>
      <c r="G32" s="70">
        <f t="shared" si="10"/>
        <v>176188.43137566175</v>
      </c>
      <c r="H32" s="52">
        <f t="shared" si="11"/>
        <v>176188.43137566175</v>
      </c>
      <c r="I32" s="65">
        <f t="shared" si="6"/>
        <v>0</v>
      </c>
      <c r="J32" s="473"/>
      <c r="K32" s="485"/>
      <c r="L32" s="476">
        <f t="shared" si="0"/>
        <v>0</v>
      </c>
      <c r="M32" s="485"/>
      <c r="N32" s="476">
        <f t="shared" si="1"/>
        <v>0</v>
      </c>
      <c r="O32" s="476">
        <f t="shared" si="2"/>
        <v>0</v>
      </c>
      <c r="P32" s="241"/>
    </row>
    <row r="33" spans="2:16">
      <c r="B33" s="160" t="str">
        <f t="shared" si="7"/>
        <v/>
      </c>
      <c r="C33" s="470">
        <f>IF(D11="","-",+C32+1)</f>
        <v>2037</v>
      </c>
      <c r="D33" s="71">
        <f>IF(F32+SUM(E$17:E32)=D$10,F32,D$10-SUM(E$17:E32))</f>
        <v>1103383.2921727393</v>
      </c>
      <c r="E33" s="69">
        <f t="shared" si="8"/>
        <v>47961.815789473687</v>
      </c>
      <c r="F33" s="68">
        <f t="shared" si="9"/>
        <v>1055421.4763832656</v>
      </c>
      <c r="G33" s="70">
        <f t="shared" si="10"/>
        <v>170733.24545110931</v>
      </c>
      <c r="H33" s="52">
        <f t="shared" si="11"/>
        <v>170733.24545110931</v>
      </c>
      <c r="I33" s="65">
        <f t="shared" si="6"/>
        <v>0</v>
      </c>
      <c r="J33" s="473"/>
      <c r="K33" s="485"/>
      <c r="L33" s="476">
        <f t="shared" si="0"/>
        <v>0</v>
      </c>
      <c r="M33" s="485"/>
      <c r="N33" s="476">
        <f t="shared" si="1"/>
        <v>0</v>
      </c>
      <c r="O33" s="476">
        <f t="shared" si="2"/>
        <v>0</v>
      </c>
      <c r="P33" s="241"/>
    </row>
    <row r="34" spans="2:16">
      <c r="B34" s="160" t="str">
        <f t="shared" si="7"/>
        <v/>
      </c>
      <c r="C34" s="470">
        <f>IF(D11="","-",+C33+1)</f>
        <v>2038</v>
      </c>
      <c r="D34" s="71">
        <f>IF(F33+SUM(E$17:E33)=D$10,F33,D$10-SUM(E$17:E33))</f>
        <v>1055421.4763832656</v>
      </c>
      <c r="E34" s="69">
        <f t="shared" si="8"/>
        <v>47961.815789473687</v>
      </c>
      <c r="F34" s="68">
        <f t="shared" si="9"/>
        <v>1007459.6605937919</v>
      </c>
      <c r="G34" s="70">
        <f t="shared" si="10"/>
        <v>165278.05952655687</v>
      </c>
      <c r="H34" s="52">
        <f t="shared" si="11"/>
        <v>165278.05952655687</v>
      </c>
      <c r="I34" s="65">
        <f t="shared" si="6"/>
        <v>0</v>
      </c>
      <c r="J34" s="473"/>
      <c r="K34" s="485"/>
      <c r="L34" s="476">
        <f t="shared" si="0"/>
        <v>0</v>
      </c>
      <c r="M34" s="485"/>
      <c r="N34" s="476">
        <f t="shared" si="1"/>
        <v>0</v>
      </c>
      <c r="O34" s="476">
        <f t="shared" si="2"/>
        <v>0</v>
      </c>
      <c r="P34" s="241"/>
    </row>
    <row r="35" spans="2:16">
      <c r="B35" s="160" t="str">
        <f t="shared" si="7"/>
        <v/>
      </c>
      <c r="C35" s="470">
        <f>IF(D11="","-",+C34+1)</f>
        <v>2039</v>
      </c>
      <c r="D35" s="71">
        <f>IF(F34+SUM(E$17:E34)=D$10,F34,D$10-SUM(E$17:E34))</f>
        <v>1007459.6605937919</v>
      </c>
      <c r="E35" s="69">
        <f t="shared" si="8"/>
        <v>47961.815789473687</v>
      </c>
      <c r="F35" s="68">
        <f t="shared" si="9"/>
        <v>959497.84480431816</v>
      </c>
      <c r="G35" s="70">
        <f t="shared" si="10"/>
        <v>159822.87360200443</v>
      </c>
      <c r="H35" s="52">
        <f t="shared" si="11"/>
        <v>159822.87360200443</v>
      </c>
      <c r="I35" s="65">
        <f t="shared" si="6"/>
        <v>0</v>
      </c>
      <c r="J35" s="473"/>
      <c r="K35" s="485"/>
      <c r="L35" s="476">
        <f t="shared" si="0"/>
        <v>0</v>
      </c>
      <c r="M35" s="485"/>
      <c r="N35" s="476">
        <f t="shared" si="1"/>
        <v>0</v>
      </c>
      <c r="O35" s="476">
        <f t="shared" si="2"/>
        <v>0</v>
      </c>
      <c r="P35" s="241"/>
    </row>
    <row r="36" spans="2:16">
      <c r="B36" s="160" t="str">
        <f t="shared" si="7"/>
        <v/>
      </c>
      <c r="C36" s="470">
        <f>IF(D11="","-",+C35+1)</f>
        <v>2040</v>
      </c>
      <c r="D36" s="71">
        <f>IF(F35+SUM(E$17:E35)=D$10,F35,D$10-SUM(E$17:E35))</f>
        <v>959497.84480431816</v>
      </c>
      <c r="E36" s="69">
        <f t="shared" si="8"/>
        <v>47961.815789473687</v>
      </c>
      <c r="F36" s="68">
        <f t="shared" si="9"/>
        <v>911536.02901484445</v>
      </c>
      <c r="G36" s="70">
        <f t="shared" si="10"/>
        <v>154367.68767745199</v>
      </c>
      <c r="H36" s="52">
        <f t="shared" si="11"/>
        <v>154367.68767745199</v>
      </c>
      <c r="I36" s="65">
        <f t="shared" si="6"/>
        <v>0</v>
      </c>
      <c r="J36" s="473"/>
      <c r="K36" s="485"/>
      <c r="L36" s="476">
        <f t="shared" si="0"/>
        <v>0</v>
      </c>
      <c r="M36" s="485"/>
      <c r="N36" s="476">
        <f t="shared" si="1"/>
        <v>0</v>
      </c>
      <c r="O36" s="476">
        <f t="shared" si="2"/>
        <v>0</v>
      </c>
      <c r="P36" s="241"/>
    </row>
    <row r="37" spans="2:16">
      <c r="B37" s="160" t="str">
        <f t="shared" si="7"/>
        <v/>
      </c>
      <c r="C37" s="470">
        <f>IF(D11="","-",+C36+1)</f>
        <v>2041</v>
      </c>
      <c r="D37" s="71">
        <f>IF(F36+SUM(E$17:E36)=D$10,F36,D$10-SUM(E$17:E36))</f>
        <v>911536.02901484445</v>
      </c>
      <c r="E37" s="69">
        <f t="shared" si="8"/>
        <v>47961.815789473687</v>
      </c>
      <c r="F37" s="68">
        <f t="shared" si="9"/>
        <v>863574.21322537074</v>
      </c>
      <c r="G37" s="70">
        <f t="shared" si="10"/>
        <v>148912.50175289955</v>
      </c>
      <c r="H37" s="52">
        <f t="shared" si="11"/>
        <v>148912.50175289955</v>
      </c>
      <c r="I37" s="65">
        <f t="shared" si="6"/>
        <v>0</v>
      </c>
      <c r="J37" s="473"/>
      <c r="K37" s="485"/>
      <c r="L37" s="476">
        <f t="shared" si="0"/>
        <v>0</v>
      </c>
      <c r="M37" s="485"/>
      <c r="N37" s="476">
        <f t="shared" si="1"/>
        <v>0</v>
      </c>
      <c r="O37" s="476">
        <f t="shared" si="2"/>
        <v>0</v>
      </c>
      <c r="P37" s="241"/>
    </row>
    <row r="38" spans="2:16">
      <c r="B38" s="160" t="str">
        <f t="shared" si="7"/>
        <v/>
      </c>
      <c r="C38" s="470">
        <f>IF(D11="","-",+C37+1)</f>
        <v>2042</v>
      </c>
      <c r="D38" s="71">
        <f>IF(F37+SUM(E$17:E37)=D$10,F37,D$10-SUM(E$17:E37))</f>
        <v>863574.21322537074</v>
      </c>
      <c r="E38" s="69">
        <f t="shared" si="8"/>
        <v>47961.815789473687</v>
      </c>
      <c r="F38" s="68">
        <f t="shared" si="9"/>
        <v>815612.39743589703</v>
      </c>
      <c r="G38" s="70">
        <f t="shared" si="10"/>
        <v>143457.31582834714</v>
      </c>
      <c r="H38" s="52">
        <f t="shared" si="11"/>
        <v>143457.31582834714</v>
      </c>
      <c r="I38" s="65">
        <f t="shared" si="6"/>
        <v>0</v>
      </c>
      <c r="J38" s="473"/>
      <c r="K38" s="485"/>
      <c r="L38" s="476">
        <f t="shared" si="0"/>
        <v>0</v>
      </c>
      <c r="M38" s="485"/>
      <c r="N38" s="476">
        <f t="shared" si="1"/>
        <v>0</v>
      </c>
      <c r="O38" s="476">
        <f t="shared" si="2"/>
        <v>0</v>
      </c>
      <c r="P38" s="241"/>
    </row>
    <row r="39" spans="2:16">
      <c r="B39" s="160" t="str">
        <f t="shared" si="7"/>
        <v/>
      </c>
      <c r="C39" s="470">
        <f>IF(D11="","-",+C38+1)</f>
        <v>2043</v>
      </c>
      <c r="D39" s="71">
        <f>IF(F38+SUM(E$17:E38)=D$10,F38,D$10-SUM(E$17:E38))</f>
        <v>815612.39743589703</v>
      </c>
      <c r="E39" s="69">
        <f t="shared" si="8"/>
        <v>47961.815789473687</v>
      </c>
      <c r="F39" s="68">
        <f t="shared" si="9"/>
        <v>767650.58164642332</v>
      </c>
      <c r="G39" s="70">
        <f t="shared" si="10"/>
        <v>138002.1299037947</v>
      </c>
      <c r="H39" s="52">
        <f t="shared" si="11"/>
        <v>138002.1299037947</v>
      </c>
      <c r="I39" s="65">
        <f t="shared" si="6"/>
        <v>0</v>
      </c>
      <c r="J39" s="473"/>
      <c r="K39" s="485"/>
      <c r="L39" s="476">
        <f t="shared" si="0"/>
        <v>0</v>
      </c>
      <c r="M39" s="485"/>
      <c r="N39" s="476">
        <f t="shared" si="1"/>
        <v>0</v>
      </c>
      <c r="O39" s="476">
        <f t="shared" si="2"/>
        <v>0</v>
      </c>
      <c r="P39" s="241"/>
    </row>
    <row r="40" spans="2:16">
      <c r="B40" s="160" t="str">
        <f t="shared" si="7"/>
        <v/>
      </c>
      <c r="C40" s="470">
        <f>IF(D11="","-",+C39+1)</f>
        <v>2044</v>
      </c>
      <c r="D40" s="71">
        <f>IF(F39+SUM(E$17:E39)=D$10,F39,D$10-SUM(E$17:E39))</f>
        <v>767650.58164642332</v>
      </c>
      <c r="E40" s="69">
        <f t="shared" si="8"/>
        <v>47961.815789473687</v>
      </c>
      <c r="F40" s="68">
        <f t="shared" si="9"/>
        <v>719688.76585694961</v>
      </c>
      <c r="G40" s="70">
        <f t="shared" si="10"/>
        <v>132546.94397924226</v>
      </c>
      <c r="H40" s="52">
        <f t="shared" si="11"/>
        <v>132546.94397924226</v>
      </c>
      <c r="I40" s="65">
        <f t="shared" si="6"/>
        <v>0</v>
      </c>
      <c r="J40" s="473"/>
      <c r="K40" s="485"/>
      <c r="L40" s="476">
        <f t="shared" si="0"/>
        <v>0</v>
      </c>
      <c r="M40" s="485"/>
      <c r="N40" s="476">
        <f t="shared" si="1"/>
        <v>0</v>
      </c>
      <c r="O40" s="476">
        <f t="shared" si="2"/>
        <v>0</v>
      </c>
      <c r="P40" s="241"/>
    </row>
    <row r="41" spans="2:16">
      <c r="B41" s="160" t="str">
        <f t="shared" si="7"/>
        <v/>
      </c>
      <c r="C41" s="470">
        <f>IF(D11="","-",+C40+1)</f>
        <v>2045</v>
      </c>
      <c r="D41" s="71">
        <f>IF(F40+SUM(E$17:E40)=D$10,F40,D$10-SUM(E$17:E40))</f>
        <v>719688.76585694961</v>
      </c>
      <c r="E41" s="69">
        <f t="shared" si="8"/>
        <v>47961.815789473687</v>
      </c>
      <c r="F41" s="68">
        <f t="shared" si="9"/>
        <v>671726.9500674759</v>
      </c>
      <c r="G41" s="70">
        <f t="shared" si="10"/>
        <v>127091.75805468982</v>
      </c>
      <c r="H41" s="52">
        <f t="shared" si="11"/>
        <v>127091.75805468982</v>
      </c>
      <c r="I41" s="65">
        <f t="shared" si="6"/>
        <v>0</v>
      </c>
      <c r="J41" s="473"/>
      <c r="K41" s="485"/>
      <c r="L41" s="476">
        <f t="shared" si="0"/>
        <v>0</v>
      </c>
      <c r="M41" s="485"/>
      <c r="N41" s="476">
        <f t="shared" si="1"/>
        <v>0</v>
      </c>
      <c r="O41" s="476">
        <f t="shared" si="2"/>
        <v>0</v>
      </c>
      <c r="P41" s="241"/>
    </row>
    <row r="42" spans="2:16">
      <c r="B42" s="160" t="str">
        <f t="shared" si="7"/>
        <v/>
      </c>
      <c r="C42" s="470">
        <f>IF(D11="","-",+C41+1)</f>
        <v>2046</v>
      </c>
      <c r="D42" s="71">
        <f>IF(F41+SUM(E$17:E41)=D$10,F41,D$10-SUM(E$17:E41))</f>
        <v>671726.9500674759</v>
      </c>
      <c r="E42" s="69">
        <f t="shared" si="8"/>
        <v>47961.815789473687</v>
      </c>
      <c r="F42" s="68">
        <f t="shared" si="9"/>
        <v>623765.1342780022</v>
      </c>
      <c r="G42" s="70">
        <f t="shared" si="10"/>
        <v>121636.57213013739</v>
      </c>
      <c r="H42" s="52">
        <f t="shared" si="11"/>
        <v>121636.57213013739</v>
      </c>
      <c r="I42" s="65">
        <f t="shared" si="6"/>
        <v>0</v>
      </c>
      <c r="J42" s="473"/>
      <c r="K42" s="485"/>
      <c r="L42" s="476">
        <f t="shared" si="0"/>
        <v>0</v>
      </c>
      <c r="M42" s="485"/>
      <c r="N42" s="476">
        <f t="shared" si="1"/>
        <v>0</v>
      </c>
      <c r="O42" s="476">
        <f t="shared" si="2"/>
        <v>0</v>
      </c>
      <c r="P42" s="241"/>
    </row>
    <row r="43" spans="2:16">
      <c r="B43" s="160" t="str">
        <f t="shared" si="7"/>
        <v/>
      </c>
      <c r="C43" s="470">
        <f>IF(D11="","-",+C42+1)</f>
        <v>2047</v>
      </c>
      <c r="D43" s="71">
        <f>IF(F42+SUM(E$17:E42)=D$10,F42,D$10-SUM(E$17:E42))</f>
        <v>623765.1342780022</v>
      </c>
      <c r="E43" s="69">
        <f t="shared" si="8"/>
        <v>47961.815789473687</v>
      </c>
      <c r="F43" s="68">
        <f t="shared" si="9"/>
        <v>575803.31848852849</v>
      </c>
      <c r="G43" s="70">
        <f t="shared" si="10"/>
        <v>116181.38620558497</v>
      </c>
      <c r="H43" s="52">
        <f t="shared" si="11"/>
        <v>116181.38620558497</v>
      </c>
      <c r="I43" s="65">
        <f t="shared" si="6"/>
        <v>0</v>
      </c>
      <c r="J43" s="473"/>
      <c r="K43" s="485"/>
      <c r="L43" s="476">
        <f t="shared" si="0"/>
        <v>0</v>
      </c>
      <c r="M43" s="485"/>
      <c r="N43" s="476">
        <f t="shared" si="1"/>
        <v>0</v>
      </c>
      <c r="O43" s="476">
        <f t="shared" si="2"/>
        <v>0</v>
      </c>
      <c r="P43" s="241"/>
    </row>
    <row r="44" spans="2:16">
      <c r="B44" s="160" t="str">
        <f t="shared" si="7"/>
        <v/>
      </c>
      <c r="C44" s="470">
        <f>IF(D11="","-",+C43+1)</f>
        <v>2048</v>
      </c>
      <c r="D44" s="71">
        <f>IF(F43+SUM(E$17:E43)=D$10,F43,D$10-SUM(E$17:E43))</f>
        <v>575803.31848852849</v>
      </c>
      <c r="E44" s="69">
        <f t="shared" si="8"/>
        <v>47961.815789473687</v>
      </c>
      <c r="F44" s="68">
        <f t="shared" si="9"/>
        <v>527841.50269905478</v>
      </c>
      <c r="G44" s="70">
        <f t="shared" si="10"/>
        <v>110726.20028103254</v>
      </c>
      <c r="H44" s="52">
        <f t="shared" si="11"/>
        <v>110726.20028103254</v>
      </c>
      <c r="I44" s="65">
        <f t="shared" si="6"/>
        <v>0</v>
      </c>
      <c r="J44" s="473"/>
      <c r="K44" s="485"/>
      <c r="L44" s="476">
        <f t="shared" si="0"/>
        <v>0</v>
      </c>
      <c r="M44" s="485"/>
      <c r="N44" s="476">
        <f t="shared" si="1"/>
        <v>0</v>
      </c>
      <c r="O44" s="476">
        <f t="shared" si="2"/>
        <v>0</v>
      </c>
      <c r="P44" s="241"/>
    </row>
    <row r="45" spans="2:16">
      <c r="B45" s="160" t="str">
        <f t="shared" si="7"/>
        <v/>
      </c>
      <c r="C45" s="470">
        <f>IF(D11="","-",+C44+1)</f>
        <v>2049</v>
      </c>
      <c r="D45" s="71">
        <f>IF(F44+SUM(E$17:E44)=D$10,F44,D$10-SUM(E$17:E44))</f>
        <v>527841.50269905478</v>
      </c>
      <c r="E45" s="69">
        <f t="shared" si="8"/>
        <v>47961.815789473687</v>
      </c>
      <c r="F45" s="68">
        <f t="shared" si="9"/>
        <v>479879.68690958107</v>
      </c>
      <c r="G45" s="70">
        <f t="shared" si="10"/>
        <v>105271.0143564801</v>
      </c>
      <c r="H45" s="52">
        <f t="shared" si="11"/>
        <v>105271.0143564801</v>
      </c>
      <c r="I45" s="65">
        <f t="shared" si="6"/>
        <v>0</v>
      </c>
      <c r="J45" s="473"/>
      <c r="K45" s="485"/>
      <c r="L45" s="476">
        <f t="shared" si="0"/>
        <v>0</v>
      </c>
      <c r="M45" s="485"/>
      <c r="N45" s="476">
        <f t="shared" si="1"/>
        <v>0</v>
      </c>
      <c r="O45" s="476">
        <f t="shared" si="2"/>
        <v>0</v>
      </c>
      <c r="P45" s="241"/>
    </row>
    <row r="46" spans="2:16">
      <c r="B46" s="160" t="str">
        <f t="shared" si="7"/>
        <v/>
      </c>
      <c r="C46" s="470">
        <f>IF(D11="","-",+C45+1)</f>
        <v>2050</v>
      </c>
      <c r="D46" s="71">
        <f>IF(F45+SUM(E$17:E45)=D$10,F45,D$10-SUM(E$17:E45))</f>
        <v>479879.68690958107</v>
      </c>
      <c r="E46" s="69">
        <f t="shared" si="8"/>
        <v>47961.815789473687</v>
      </c>
      <c r="F46" s="68">
        <f t="shared" si="9"/>
        <v>431917.87112010736</v>
      </c>
      <c r="G46" s="70">
        <f t="shared" si="10"/>
        <v>99815.828431927657</v>
      </c>
      <c r="H46" s="52">
        <f t="shared" si="11"/>
        <v>99815.828431927657</v>
      </c>
      <c r="I46" s="65">
        <f t="shared" si="6"/>
        <v>0</v>
      </c>
      <c r="J46" s="473"/>
      <c r="K46" s="485"/>
      <c r="L46" s="476">
        <f t="shared" si="0"/>
        <v>0</v>
      </c>
      <c r="M46" s="485"/>
      <c r="N46" s="476">
        <f t="shared" si="1"/>
        <v>0</v>
      </c>
      <c r="O46" s="476">
        <f t="shared" si="2"/>
        <v>0</v>
      </c>
      <c r="P46" s="241"/>
    </row>
    <row r="47" spans="2:16">
      <c r="B47" s="160" t="str">
        <f t="shared" si="7"/>
        <v/>
      </c>
      <c r="C47" s="470">
        <f>IF(D11="","-",+C46+1)</f>
        <v>2051</v>
      </c>
      <c r="D47" s="71">
        <f>IF(F46+SUM(E$17:E46)=D$10,F46,D$10-SUM(E$17:E46))</f>
        <v>431917.87112010736</v>
      </c>
      <c r="E47" s="69">
        <f t="shared" si="8"/>
        <v>47961.815789473687</v>
      </c>
      <c r="F47" s="68">
        <f t="shared" si="9"/>
        <v>383956.05533063365</v>
      </c>
      <c r="G47" s="70">
        <f t="shared" si="10"/>
        <v>94360.642507375233</v>
      </c>
      <c r="H47" s="52">
        <f t="shared" si="11"/>
        <v>94360.642507375233</v>
      </c>
      <c r="I47" s="65">
        <f t="shared" si="6"/>
        <v>0</v>
      </c>
      <c r="J47" s="473"/>
      <c r="K47" s="485"/>
      <c r="L47" s="476">
        <f t="shared" si="0"/>
        <v>0</v>
      </c>
      <c r="M47" s="485"/>
      <c r="N47" s="476">
        <f t="shared" si="1"/>
        <v>0</v>
      </c>
      <c r="O47" s="476">
        <f t="shared" si="2"/>
        <v>0</v>
      </c>
      <c r="P47" s="241"/>
    </row>
    <row r="48" spans="2:16">
      <c r="B48" s="160" t="str">
        <f t="shared" si="7"/>
        <v/>
      </c>
      <c r="C48" s="470">
        <f>IF(D11="","-",+C47+1)</f>
        <v>2052</v>
      </c>
      <c r="D48" s="71">
        <f>IF(F47+SUM(E$17:E47)=D$10,F47,D$10-SUM(E$17:E47))</f>
        <v>383956.05533063365</v>
      </c>
      <c r="E48" s="69">
        <f t="shared" si="8"/>
        <v>47961.815789473687</v>
      </c>
      <c r="F48" s="68">
        <f t="shared" si="9"/>
        <v>335994.23954115994</v>
      </c>
      <c r="G48" s="70">
        <f t="shared" si="10"/>
        <v>88905.456582822808</v>
      </c>
      <c r="H48" s="52">
        <f t="shared" si="11"/>
        <v>88905.456582822808</v>
      </c>
      <c r="I48" s="65">
        <f t="shared" si="6"/>
        <v>0</v>
      </c>
      <c r="J48" s="473"/>
      <c r="K48" s="485"/>
      <c r="L48" s="476">
        <f t="shared" si="0"/>
        <v>0</v>
      </c>
      <c r="M48" s="485"/>
      <c r="N48" s="476">
        <f t="shared" si="1"/>
        <v>0</v>
      </c>
      <c r="O48" s="476">
        <f t="shared" si="2"/>
        <v>0</v>
      </c>
      <c r="P48" s="241"/>
    </row>
    <row r="49" spans="2:16">
      <c r="B49" s="160" t="str">
        <f t="shared" si="7"/>
        <v/>
      </c>
      <c r="C49" s="470">
        <f>IF(D11="","-",+C48+1)</f>
        <v>2053</v>
      </c>
      <c r="D49" s="71">
        <f>IF(F48+SUM(E$17:E48)=D$10,F48,D$10-SUM(E$17:E48))</f>
        <v>335994.23954115994</v>
      </c>
      <c r="E49" s="69">
        <f t="shared" si="8"/>
        <v>47961.815789473687</v>
      </c>
      <c r="F49" s="68">
        <f t="shared" si="9"/>
        <v>288032.42375168623</v>
      </c>
      <c r="G49" s="70">
        <f t="shared" si="10"/>
        <v>83450.270658270369</v>
      </c>
      <c r="H49" s="52">
        <f t="shared" si="11"/>
        <v>83450.270658270369</v>
      </c>
      <c r="I49" s="65">
        <f t="shared" si="6"/>
        <v>0</v>
      </c>
      <c r="J49" s="473"/>
      <c r="K49" s="485"/>
      <c r="L49" s="476">
        <f t="shared" si="0"/>
        <v>0</v>
      </c>
      <c r="M49" s="485"/>
      <c r="N49" s="476">
        <f t="shared" si="1"/>
        <v>0</v>
      </c>
      <c r="O49" s="476">
        <f t="shared" si="2"/>
        <v>0</v>
      </c>
      <c r="P49" s="241"/>
    </row>
    <row r="50" spans="2:16">
      <c r="B50" s="160" t="str">
        <f t="shared" si="7"/>
        <v/>
      </c>
      <c r="C50" s="470">
        <f>IF(D11="","-",+C49+1)</f>
        <v>2054</v>
      </c>
      <c r="D50" s="71">
        <f>IF(F49+SUM(E$17:E49)=D$10,F49,D$10-SUM(E$17:E49))</f>
        <v>288032.42375168623</v>
      </c>
      <c r="E50" s="69">
        <f t="shared" si="8"/>
        <v>47961.815789473687</v>
      </c>
      <c r="F50" s="68">
        <f t="shared" si="9"/>
        <v>240070.60796221255</v>
      </c>
      <c r="G50" s="70">
        <f t="shared" si="10"/>
        <v>77995.084733717929</v>
      </c>
      <c r="H50" s="52">
        <f t="shared" si="11"/>
        <v>77995.084733717929</v>
      </c>
      <c r="I50" s="65">
        <f t="shared" si="6"/>
        <v>0</v>
      </c>
      <c r="J50" s="473"/>
      <c r="K50" s="485"/>
      <c r="L50" s="476">
        <f t="shared" si="0"/>
        <v>0</v>
      </c>
      <c r="M50" s="485"/>
      <c r="N50" s="476">
        <f t="shared" si="1"/>
        <v>0</v>
      </c>
      <c r="O50" s="476">
        <f t="shared" si="2"/>
        <v>0</v>
      </c>
      <c r="P50" s="241"/>
    </row>
    <row r="51" spans="2:16">
      <c r="B51" s="160" t="str">
        <f t="shared" si="7"/>
        <v/>
      </c>
      <c r="C51" s="470">
        <f>IF(D11="","-",+C50+1)</f>
        <v>2055</v>
      </c>
      <c r="D51" s="71">
        <f>IF(F50+SUM(E$17:E50)=D$10,F50,D$10-SUM(E$17:E50))</f>
        <v>240070.60796221255</v>
      </c>
      <c r="E51" s="69">
        <f t="shared" si="8"/>
        <v>47961.815789473687</v>
      </c>
      <c r="F51" s="68">
        <f t="shared" si="9"/>
        <v>192108.79217273887</v>
      </c>
      <c r="G51" s="70">
        <f t="shared" si="10"/>
        <v>72539.898809165505</v>
      </c>
      <c r="H51" s="52">
        <f t="shared" si="11"/>
        <v>72539.898809165505</v>
      </c>
      <c r="I51" s="65">
        <f t="shared" si="6"/>
        <v>0</v>
      </c>
      <c r="J51" s="473"/>
      <c r="K51" s="485"/>
      <c r="L51" s="476">
        <f t="shared" si="0"/>
        <v>0</v>
      </c>
      <c r="M51" s="485"/>
      <c r="N51" s="476">
        <f t="shared" si="1"/>
        <v>0</v>
      </c>
      <c r="O51" s="476">
        <f t="shared" si="2"/>
        <v>0</v>
      </c>
      <c r="P51" s="241"/>
    </row>
    <row r="52" spans="2:16">
      <c r="B52" s="160" t="str">
        <f t="shared" si="7"/>
        <v/>
      </c>
      <c r="C52" s="470">
        <f>IF(D11="","-",+C51+1)</f>
        <v>2056</v>
      </c>
      <c r="D52" s="71">
        <f>IF(F51+SUM(E$17:E51)=D$10,F51,D$10-SUM(E$17:E51))</f>
        <v>192108.79217273887</v>
      </c>
      <c r="E52" s="69">
        <f t="shared" si="8"/>
        <v>47961.815789473687</v>
      </c>
      <c r="F52" s="68">
        <f t="shared" si="9"/>
        <v>144146.9763832652</v>
      </c>
      <c r="G52" s="70">
        <f t="shared" si="10"/>
        <v>67084.712884613065</v>
      </c>
      <c r="H52" s="52">
        <f t="shared" si="11"/>
        <v>67084.712884613065</v>
      </c>
      <c r="I52" s="65">
        <f t="shared" si="6"/>
        <v>0</v>
      </c>
      <c r="J52" s="473"/>
      <c r="K52" s="485"/>
      <c r="L52" s="476">
        <f t="shared" si="0"/>
        <v>0</v>
      </c>
      <c r="M52" s="485"/>
      <c r="N52" s="476">
        <f t="shared" si="1"/>
        <v>0</v>
      </c>
      <c r="O52" s="476">
        <f t="shared" si="2"/>
        <v>0</v>
      </c>
      <c r="P52" s="241"/>
    </row>
    <row r="53" spans="2:16">
      <c r="B53" s="160" t="str">
        <f t="shared" si="7"/>
        <v/>
      </c>
      <c r="C53" s="470">
        <f>IF(D11="","-",+C52+1)</f>
        <v>2057</v>
      </c>
      <c r="D53" s="71">
        <f>IF(F52+SUM(E$17:E52)=D$10,F52,D$10-SUM(E$17:E52))</f>
        <v>144146.9763832652</v>
      </c>
      <c r="E53" s="69">
        <f t="shared" si="8"/>
        <v>47961.815789473687</v>
      </c>
      <c r="F53" s="68">
        <f t="shared" si="9"/>
        <v>96185.160593791516</v>
      </c>
      <c r="G53" s="70">
        <f t="shared" si="10"/>
        <v>61629.526960060641</v>
      </c>
      <c r="H53" s="52">
        <f t="shared" si="11"/>
        <v>61629.526960060641</v>
      </c>
      <c r="I53" s="65">
        <f t="shared" si="6"/>
        <v>0</v>
      </c>
      <c r="J53" s="473"/>
      <c r="K53" s="485"/>
      <c r="L53" s="476">
        <f t="shared" si="0"/>
        <v>0</v>
      </c>
      <c r="M53" s="485"/>
      <c r="N53" s="476">
        <f t="shared" si="1"/>
        <v>0</v>
      </c>
      <c r="O53" s="476">
        <f t="shared" si="2"/>
        <v>0</v>
      </c>
      <c r="P53" s="241"/>
    </row>
    <row r="54" spans="2:16">
      <c r="B54" s="160" t="str">
        <f t="shared" si="7"/>
        <v/>
      </c>
      <c r="C54" s="470">
        <f>IF(D11="","-",+C53+1)</f>
        <v>2058</v>
      </c>
      <c r="D54" s="71">
        <f>IF(F53+SUM(E$17:E53)=D$10,F53,D$10-SUM(E$17:E53))</f>
        <v>96185.160593791516</v>
      </c>
      <c r="E54" s="69">
        <f t="shared" si="8"/>
        <v>47961.815789473687</v>
      </c>
      <c r="F54" s="68">
        <f t="shared" si="9"/>
        <v>48223.344804317829</v>
      </c>
      <c r="G54" s="70">
        <f t="shared" si="10"/>
        <v>56174.341035508216</v>
      </c>
      <c r="H54" s="52">
        <f t="shared" si="11"/>
        <v>56174.341035508216</v>
      </c>
      <c r="I54" s="65">
        <f t="shared" si="6"/>
        <v>0</v>
      </c>
      <c r="J54" s="473"/>
      <c r="K54" s="485"/>
      <c r="L54" s="476">
        <f t="shared" si="0"/>
        <v>0</v>
      </c>
      <c r="M54" s="485"/>
      <c r="N54" s="476">
        <f t="shared" si="1"/>
        <v>0</v>
      </c>
      <c r="O54" s="476">
        <f t="shared" si="2"/>
        <v>0</v>
      </c>
      <c r="P54" s="241"/>
    </row>
    <row r="55" spans="2:16">
      <c r="B55" s="160" t="str">
        <f t="shared" si="7"/>
        <v/>
      </c>
      <c r="C55" s="470">
        <f>IF(D11="","-",+C54+1)</f>
        <v>2059</v>
      </c>
      <c r="D55" s="71">
        <f>IF(F54+SUM(E$17:E54)=D$10,F54,D$10-SUM(E$17:E54))</f>
        <v>48223.344804317829</v>
      </c>
      <c r="E55" s="69">
        <f t="shared" si="8"/>
        <v>47961.815789473687</v>
      </c>
      <c r="F55" s="68">
        <f t="shared" si="9"/>
        <v>261.52901484414178</v>
      </c>
      <c r="G55" s="70">
        <f t="shared" si="10"/>
        <v>50719.155110955777</v>
      </c>
      <c r="H55" s="52">
        <f t="shared" si="11"/>
        <v>50719.155110955777</v>
      </c>
      <c r="I55" s="65">
        <f t="shared" si="6"/>
        <v>0</v>
      </c>
      <c r="J55" s="473"/>
      <c r="K55" s="485"/>
      <c r="L55" s="476">
        <f t="shared" si="0"/>
        <v>0</v>
      </c>
      <c r="M55" s="485"/>
      <c r="N55" s="476">
        <f t="shared" si="1"/>
        <v>0</v>
      </c>
      <c r="O55" s="476">
        <f t="shared" si="2"/>
        <v>0</v>
      </c>
      <c r="P55" s="241"/>
    </row>
    <row r="56" spans="2:16">
      <c r="B56" s="160" t="str">
        <f t="shared" si="7"/>
        <v/>
      </c>
      <c r="C56" s="470">
        <f>IF(D11="","-",+C55+1)</f>
        <v>2060</v>
      </c>
      <c r="D56" s="71">
        <f>IF(F55+SUM(E$17:E55)=D$10,F55,D$10-SUM(E$17:E55))</f>
        <v>261.52901484414178</v>
      </c>
      <c r="E56" s="69">
        <f t="shared" si="8"/>
        <v>261.52901484414178</v>
      </c>
      <c r="F56" s="68">
        <f t="shared" si="9"/>
        <v>0</v>
      </c>
      <c r="G56" s="70">
        <f t="shared" si="10"/>
        <v>276.40219444708066</v>
      </c>
      <c r="H56" s="52">
        <f t="shared" si="11"/>
        <v>276.40219444708066</v>
      </c>
      <c r="I56" s="65">
        <f t="shared" si="6"/>
        <v>0</v>
      </c>
      <c r="J56" s="473"/>
      <c r="K56" s="485"/>
      <c r="L56" s="476">
        <f t="shared" si="0"/>
        <v>0</v>
      </c>
      <c r="M56" s="485"/>
      <c r="N56" s="476">
        <f t="shared" si="1"/>
        <v>0</v>
      </c>
      <c r="O56" s="476">
        <f t="shared" si="2"/>
        <v>0</v>
      </c>
      <c r="P56" s="241"/>
    </row>
    <row r="57" spans="2:16">
      <c r="B57" s="160" t="str">
        <f t="shared" si="7"/>
        <v/>
      </c>
      <c r="C57" s="470">
        <f>IF(D11="","-",+C56+1)</f>
        <v>2061</v>
      </c>
      <c r="D57" s="71">
        <f>IF(F56+SUM(E$17:E56)=D$10,F56,D$10-SUM(E$17:E56))</f>
        <v>0</v>
      </c>
      <c r="E57" s="69">
        <f t="shared" si="8"/>
        <v>0</v>
      </c>
      <c r="F57" s="68">
        <f t="shared" si="9"/>
        <v>0</v>
      </c>
      <c r="G57" s="70">
        <f t="shared" si="10"/>
        <v>0</v>
      </c>
      <c r="H57" s="52">
        <f t="shared" si="11"/>
        <v>0</v>
      </c>
      <c r="I57" s="65">
        <f t="shared" si="6"/>
        <v>0</v>
      </c>
      <c r="J57" s="473"/>
      <c r="K57" s="485"/>
      <c r="L57" s="476">
        <f t="shared" si="0"/>
        <v>0</v>
      </c>
      <c r="M57" s="485"/>
      <c r="N57" s="476">
        <f t="shared" si="1"/>
        <v>0</v>
      </c>
      <c r="O57" s="476">
        <f t="shared" si="2"/>
        <v>0</v>
      </c>
      <c r="P57" s="241"/>
    </row>
    <row r="58" spans="2:16">
      <c r="B58" s="160" t="str">
        <f t="shared" si="7"/>
        <v/>
      </c>
      <c r="C58" s="470">
        <f>IF(D11="","-",+C57+1)</f>
        <v>2062</v>
      </c>
      <c r="D58" s="71">
        <f>IF(F57+SUM(E$17:E57)=D$10,F57,D$10-SUM(E$17:E57))</f>
        <v>0</v>
      </c>
      <c r="E58" s="69">
        <f t="shared" si="8"/>
        <v>0</v>
      </c>
      <c r="F58" s="68">
        <f t="shared" si="9"/>
        <v>0</v>
      </c>
      <c r="G58" s="70">
        <f t="shared" si="10"/>
        <v>0</v>
      </c>
      <c r="H58" s="52">
        <f t="shared" si="11"/>
        <v>0</v>
      </c>
      <c r="I58" s="65">
        <f t="shared" si="6"/>
        <v>0</v>
      </c>
      <c r="J58" s="473"/>
      <c r="K58" s="485"/>
      <c r="L58" s="476">
        <f t="shared" si="0"/>
        <v>0</v>
      </c>
      <c r="M58" s="485"/>
      <c r="N58" s="476">
        <f t="shared" si="1"/>
        <v>0</v>
      </c>
      <c r="O58" s="476">
        <f t="shared" si="2"/>
        <v>0</v>
      </c>
      <c r="P58" s="241"/>
    </row>
    <row r="59" spans="2:16">
      <c r="B59" s="160" t="str">
        <f t="shared" si="7"/>
        <v/>
      </c>
      <c r="C59" s="470">
        <f>IF(D11="","-",+C58+1)</f>
        <v>2063</v>
      </c>
      <c r="D59" s="71">
        <f>IF(F58+SUM(E$17:E58)=D$10,F58,D$10-SUM(E$17:E58))</f>
        <v>0</v>
      </c>
      <c r="E59" s="69">
        <f t="shared" si="8"/>
        <v>0</v>
      </c>
      <c r="F59" s="68">
        <f t="shared" si="9"/>
        <v>0</v>
      </c>
      <c r="G59" s="70">
        <f t="shared" si="10"/>
        <v>0</v>
      </c>
      <c r="H59" s="52">
        <f t="shared" si="11"/>
        <v>0</v>
      </c>
      <c r="I59" s="65">
        <f t="shared" si="6"/>
        <v>0</v>
      </c>
      <c r="J59" s="473"/>
      <c r="K59" s="485"/>
      <c r="L59" s="476">
        <f t="shared" si="0"/>
        <v>0</v>
      </c>
      <c r="M59" s="485"/>
      <c r="N59" s="476">
        <f t="shared" si="1"/>
        <v>0</v>
      </c>
      <c r="O59" s="476">
        <f t="shared" si="2"/>
        <v>0</v>
      </c>
      <c r="P59" s="241"/>
    </row>
    <row r="60" spans="2:16">
      <c r="B60" s="160" t="str">
        <f t="shared" si="7"/>
        <v/>
      </c>
      <c r="C60" s="470">
        <f>IF(D11="","-",+C59+1)</f>
        <v>2064</v>
      </c>
      <c r="D60" s="71">
        <f>IF(F59+SUM(E$17:E59)=D$10,F59,D$10-SUM(E$17:E59))</f>
        <v>0</v>
      </c>
      <c r="E60" s="69">
        <f t="shared" si="8"/>
        <v>0</v>
      </c>
      <c r="F60" s="68">
        <f t="shared" si="9"/>
        <v>0</v>
      </c>
      <c r="G60" s="70">
        <f t="shared" si="10"/>
        <v>0</v>
      </c>
      <c r="H60" s="52">
        <f t="shared" si="11"/>
        <v>0</v>
      </c>
      <c r="I60" s="65">
        <f t="shared" si="6"/>
        <v>0</v>
      </c>
      <c r="J60" s="473"/>
      <c r="K60" s="485"/>
      <c r="L60" s="476">
        <f t="shared" si="0"/>
        <v>0</v>
      </c>
      <c r="M60" s="485"/>
      <c r="N60" s="476">
        <f t="shared" si="1"/>
        <v>0</v>
      </c>
      <c r="O60" s="476">
        <f t="shared" si="2"/>
        <v>0</v>
      </c>
      <c r="P60" s="241"/>
    </row>
    <row r="61" spans="2:16">
      <c r="B61" s="160" t="str">
        <f t="shared" si="7"/>
        <v/>
      </c>
      <c r="C61" s="470">
        <f>IF(D11="","-",+C60+1)</f>
        <v>2065</v>
      </c>
      <c r="D61" s="71">
        <f>IF(F60+SUM(E$17:E60)=D$10,F60,D$10-SUM(E$17:E60))</f>
        <v>0</v>
      </c>
      <c r="E61" s="69">
        <f t="shared" si="8"/>
        <v>0</v>
      </c>
      <c r="F61" s="68">
        <f t="shared" si="9"/>
        <v>0</v>
      </c>
      <c r="G61" s="70">
        <f t="shared" si="10"/>
        <v>0</v>
      </c>
      <c r="H61" s="52">
        <f t="shared" si="11"/>
        <v>0</v>
      </c>
      <c r="I61" s="65">
        <f t="shared" si="6"/>
        <v>0</v>
      </c>
      <c r="J61" s="473"/>
      <c r="K61" s="485"/>
      <c r="L61" s="476">
        <f t="shared" si="0"/>
        <v>0</v>
      </c>
      <c r="M61" s="485"/>
      <c r="N61" s="476">
        <f t="shared" si="1"/>
        <v>0</v>
      </c>
      <c r="O61" s="476">
        <f t="shared" si="2"/>
        <v>0</v>
      </c>
      <c r="P61" s="241"/>
    </row>
    <row r="62" spans="2:16">
      <c r="B62" s="160" t="str">
        <f t="shared" si="7"/>
        <v/>
      </c>
      <c r="C62" s="470">
        <f>IF(D11="","-",+C61+1)</f>
        <v>2066</v>
      </c>
      <c r="D62" s="71">
        <f>IF(F61+SUM(E$17:E61)=D$10,F61,D$10-SUM(E$17:E61))</f>
        <v>0</v>
      </c>
      <c r="E62" s="69">
        <f t="shared" si="8"/>
        <v>0</v>
      </c>
      <c r="F62" s="68">
        <f t="shared" si="9"/>
        <v>0</v>
      </c>
      <c r="G62" s="70">
        <f t="shared" si="10"/>
        <v>0</v>
      </c>
      <c r="H62" s="52">
        <f t="shared" si="11"/>
        <v>0</v>
      </c>
      <c r="I62" s="65">
        <f t="shared" si="6"/>
        <v>0</v>
      </c>
      <c r="J62" s="473"/>
      <c r="K62" s="485"/>
      <c r="L62" s="476">
        <f t="shared" si="0"/>
        <v>0</v>
      </c>
      <c r="M62" s="485"/>
      <c r="N62" s="476">
        <f t="shared" si="1"/>
        <v>0</v>
      </c>
      <c r="O62" s="476">
        <f t="shared" si="2"/>
        <v>0</v>
      </c>
      <c r="P62" s="241"/>
    </row>
    <row r="63" spans="2:16">
      <c r="B63" s="160" t="str">
        <f t="shared" si="7"/>
        <v/>
      </c>
      <c r="C63" s="470">
        <f>IF(D11="","-",+C62+1)</f>
        <v>2067</v>
      </c>
      <c r="D63" s="71">
        <f>IF(F62+SUM(E$17:E62)=D$10,F62,D$10-SUM(E$17:E62))</f>
        <v>0</v>
      </c>
      <c r="E63" s="69">
        <f t="shared" si="8"/>
        <v>0</v>
      </c>
      <c r="F63" s="68">
        <f t="shared" si="9"/>
        <v>0</v>
      </c>
      <c r="G63" s="70">
        <f t="shared" si="10"/>
        <v>0</v>
      </c>
      <c r="H63" s="52">
        <f t="shared" si="11"/>
        <v>0</v>
      </c>
      <c r="I63" s="65">
        <f t="shared" si="6"/>
        <v>0</v>
      </c>
      <c r="J63" s="473"/>
      <c r="K63" s="485"/>
      <c r="L63" s="476">
        <f t="shared" si="0"/>
        <v>0</v>
      </c>
      <c r="M63" s="485"/>
      <c r="N63" s="476">
        <f t="shared" si="1"/>
        <v>0</v>
      </c>
      <c r="O63" s="476">
        <f t="shared" si="2"/>
        <v>0</v>
      </c>
      <c r="P63" s="241"/>
    </row>
    <row r="64" spans="2:16">
      <c r="B64" s="160" t="str">
        <f t="shared" si="7"/>
        <v/>
      </c>
      <c r="C64" s="470">
        <f>IF(D11="","-",+C63+1)</f>
        <v>2068</v>
      </c>
      <c r="D64" s="71">
        <f>IF(F63+SUM(E$17:E63)=D$10,F63,D$10-SUM(E$17:E63))</f>
        <v>0</v>
      </c>
      <c r="E64" s="69">
        <f t="shared" si="8"/>
        <v>0</v>
      </c>
      <c r="F64" s="68">
        <f t="shared" si="9"/>
        <v>0</v>
      </c>
      <c r="G64" s="70">
        <f t="shared" si="10"/>
        <v>0</v>
      </c>
      <c r="H64" s="52">
        <f t="shared" si="11"/>
        <v>0</v>
      </c>
      <c r="I64" s="65">
        <f t="shared" si="6"/>
        <v>0</v>
      </c>
      <c r="J64" s="473"/>
      <c r="K64" s="485"/>
      <c r="L64" s="476">
        <f t="shared" si="0"/>
        <v>0</v>
      </c>
      <c r="M64" s="485"/>
      <c r="N64" s="476">
        <f t="shared" si="1"/>
        <v>0</v>
      </c>
      <c r="O64" s="476">
        <f t="shared" si="2"/>
        <v>0</v>
      </c>
      <c r="P64" s="241"/>
    </row>
    <row r="65" spans="2:16">
      <c r="B65" s="160" t="str">
        <f t="shared" si="7"/>
        <v/>
      </c>
      <c r="C65" s="470">
        <f>IF(D11="","-",+C64+1)</f>
        <v>2069</v>
      </c>
      <c r="D65" s="71">
        <f>IF(F64+SUM(E$17:E64)=D$10,F64,D$10-SUM(E$17:E64))</f>
        <v>0</v>
      </c>
      <c r="E65" s="69">
        <f t="shared" si="8"/>
        <v>0</v>
      </c>
      <c r="F65" s="68">
        <f t="shared" si="9"/>
        <v>0</v>
      </c>
      <c r="G65" s="70">
        <f t="shared" si="10"/>
        <v>0</v>
      </c>
      <c r="H65" s="52">
        <f t="shared" si="11"/>
        <v>0</v>
      </c>
      <c r="I65" s="65">
        <f t="shared" si="6"/>
        <v>0</v>
      </c>
      <c r="J65" s="473"/>
      <c r="K65" s="485"/>
      <c r="L65" s="476">
        <f t="shared" si="0"/>
        <v>0</v>
      </c>
      <c r="M65" s="485"/>
      <c r="N65" s="476">
        <f t="shared" si="1"/>
        <v>0</v>
      </c>
      <c r="O65" s="476">
        <f t="shared" si="2"/>
        <v>0</v>
      </c>
      <c r="P65" s="241"/>
    </row>
    <row r="66" spans="2:16">
      <c r="B66" s="160" t="str">
        <f t="shared" si="7"/>
        <v/>
      </c>
      <c r="C66" s="470">
        <f>IF(D11="","-",+C65+1)</f>
        <v>2070</v>
      </c>
      <c r="D66" s="71">
        <f>IF(F65+SUM(E$17:E65)=D$10,F65,D$10-SUM(E$17:E65))</f>
        <v>0</v>
      </c>
      <c r="E66" s="69">
        <f t="shared" si="8"/>
        <v>0</v>
      </c>
      <c r="F66" s="68">
        <f t="shared" si="9"/>
        <v>0</v>
      </c>
      <c r="G66" s="70">
        <f t="shared" si="10"/>
        <v>0</v>
      </c>
      <c r="H66" s="52">
        <f t="shared" si="11"/>
        <v>0</v>
      </c>
      <c r="I66" s="65">
        <f t="shared" si="6"/>
        <v>0</v>
      </c>
      <c r="J66" s="473"/>
      <c r="K66" s="485"/>
      <c r="L66" s="476">
        <f t="shared" si="0"/>
        <v>0</v>
      </c>
      <c r="M66" s="485"/>
      <c r="N66" s="476">
        <f t="shared" si="1"/>
        <v>0</v>
      </c>
      <c r="O66" s="476">
        <f t="shared" si="2"/>
        <v>0</v>
      </c>
      <c r="P66" s="241"/>
    </row>
    <row r="67" spans="2:16">
      <c r="B67" s="160" t="str">
        <f t="shared" si="7"/>
        <v/>
      </c>
      <c r="C67" s="470">
        <f>IF(D11="","-",+C66+1)</f>
        <v>2071</v>
      </c>
      <c r="D67" s="71">
        <f>IF(F66+SUM(E$17:E66)=D$10,F66,D$10-SUM(E$17:E66))</f>
        <v>0</v>
      </c>
      <c r="E67" s="69">
        <f t="shared" si="8"/>
        <v>0</v>
      </c>
      <c r="F67" s="68">
        <f t="shared" si="9"/>
        <v>0</v>
      </c>
      <c r="G67" s="70">
        <f t="shared" si="10"/>
        <v>0</v>
      </c>
      <c r="H67" s="52">
        <f t="shared" si="11"/>
        <v>0</v>
      </c>
      <c r="I67" s="65">
        <f t="shared" si="6"/>
        <v>0</v>
      </c>
      <c r="J67" s="473"/>
      <c r="K67" s="485"/>
      <c r="L67" s="476">
        <f t="shared" si="0"/>
        <v>0</v>
      </c>
      <c r="M67" s="485"/>
      <c r="N67" s="476">
        <f t="shared" si="1"/>
        <v>0</v>
      </c>
      <c r="O67" s="476">
        <f t="shared" si="2"/>
        <v>0</v>
      </c>
      <c r="P67" s="241"/>
    </row>
    <row r="68" spans="2:16">
      <c r="B68" s="160" t="str">
        <f t="shared" si="7"/>
        <v/>
      </c>
      <c r="C68" s="470">
        <f>IF(D11="","-",+C67+1)</f>
        <v>2072</v>
      </c>
      <c r="D68" s="71">
        <f>IF(F67+SUM(E$17:E67)=D$10,F67,D$10-SUM(E$17:E67))</f>
        <v>0</v>
      </c>
      <c r="E68" s="69">
        <f t="shared" si="8"/>
        <v>0</v>
      </c>
      <c r="F68" s="68">
        <f t="shared" si="9"/>
        <v>0</v>
      </c>
      <c r="G68" s="70">
        <f t="shared" si="10"/>
        <v>0</v>
      </c>
      <c r="H68" s="52">
        <f t="shared" si="11"/>
        <v>0</v>
      </c>
      <c r="I68" s="65">
        <f t="shared" si="6"/>
        <v>0</v>
      </c>
      <c r="J68" s="473"/>
      <c r="K68" s="485"/>
      <c r="L68" s="476">
        <f t="shared" si="0"/>
        <v>0</v>
      </c>
      <c r="M68" s="485"/>
      <c r="N68" s="476">
        <f t="shared" si="1"/>
        <v>0</v>
      </c>
      <c r="O68" s="476">
        <f t="shared" si="2"/>
        <v>0</v>
      </c>
      <c r="P68" s="241"/>
    </row>
    <row r="69" spans="2:16">
      <c r="B69" s="160" t="str">
        <f t="shared" si="7"/>
        <v/>
      </c>
      <c r="C69" s="470">
        <f>IF(D11="","-",+C68+1)</f>
        <v>2073</v>
      </c>
      <c r="D69" s="71">
        <f>IF(F68+SUM(E$17:E68)=D$10,F68,D$10-SUM(E$17:E68))</f>
        <v>0</v>
      </c>
      <c r="E69" s="69">
        <f t="shared" si="8"/>
        <v>0</v>
      </c>
      <c r="F69" s="68">
        <f t="shared" si="9"/>
        <v>0</v>
      </c>
      <c r="G69" s="70">
        <f t="shared" si="10"/>
        <v>0</v>
      </c>
      <c r="H69" s="52">
        <f t="shared" si="11"/>
        <v>0</v>
      </c>
      <c r="I69" s="65">
        <f t="shared" si="6"/>
        <v>0</v>
      </c>
      <c r="J69" s="473"/>
      <c r="K69" s="485"/>
      <c r="L69" s="476">
        <f t="shared" si="0"/>
        <v>0</v>
      </c>
      <c r="M69" s="485"/>
      <c r="N69" s="476">
        <f t="shared" si="1"/>
        <v>0</v>
      </c>
      <c r="O69" s="476">
        <f t="shared" si="2"/>
        <v>0</v>
      </c>
      <c r="P69" s="241"/>
    </row>
    <row r="70" spans="2:16">
      <c r="B70" s="160" t="str">
        <f t="shared" si="7"/>
        <v/>
      </c>
      <c r="C70" s="470">
        <f>IF(D11="","-",+C69+1)</f>
        <v>2074</v>
      </c>
      <c r="D70" s="71">
        <f>IF(F69+SUM(E$17:E69)=D$10,F69,D$10-SUM(E$17:E69))</f>
        <v>0</v>
      </c>
      <c r="E70" s="69">
        <f t="shared" si="8"/>
        <v>0</v>
      </c>
      <c r="F70" s="68">
        <f t="shared" si="9"/>
        <v>0</v>
      </c>
      <c r="G70" s="70">
        <f t="shared" si="10"/>
        <v>0</v>
      </c>
      <c r="H70" s="52">
        <f t="shared" si="11"/>
        <v>0</v>
      </c>
      <c r="I70" s="65">
        <f t="shared" si="6"/>
        <v>0</v>
      </c>
      <c r="J70" s="473"/>
      <c r="K70" s="485"/>
      <c r="L70" s="476">
        <f t="shared" si="0"/>
        <v>0</v>
      </c>
      <c r="M70" s="485"/>
      <c r="N70" s="476">
        <f t="shared" si="1"/>
        <v>0</v>
      </c>
      <c r="O70" s="476">
        <f t="shared" si="2"/>
        <v>0</v>
      </c>
      <c r="P70" s="241"/>
    </row>
    <row r="71" spans="2:16">
      <c r="B71" s="160" t="str">
        <f t="shared" si="7"/>
        <v/>
      </c>
      <c r="C71" s="470">
        <f>IF(D11="","-",+C70+1)</f>
        <v>2075</v>
      </c>
      <c r="D71" s="71">
        <f>IF(F70+SUM(E$17:E70)=D$10,F70,D$10-SUM(E$17:E70))</f>
        <v>0</v>
      </c>
      <c r="E71" s="69">
        <f t="shared" si="8"/>
        <v>0</v>
      </c>
      <c r="F71" s="68">
        <f t="shared" si="9"/>
        <v>0</v>
      </c>
      <c r="G71" s="70">
        <f t="shared" si="10"/>
        <v>0</v>
      </c>
      <c r="H71" s="52">
        <f t="shared" si="11"/>
        <v>0</v>
      </c>
      <c r="I71" s="65">
        <f t="shared" si="6"/>
        <v>0</v>
      </c>
      <c r="J71" s="473"/>
      <c r="K71" s="485"/>
      <c r="L71" s="476">
        <f t="shared" si="0"/>
        <v>0</v>
      </c>
      <c r="M71" s="485"/>
      <c r="N71" s="476">
        <f t="shared" si="1"/>
        <v>0</v>
      </c>
      <c r="O71" s="476">
        <f t="shared" si="2"/>
        <v>0</v>
      </c>
      <c r="P71" s="241"/>
    </row>
    <row r="72" spans="2:16" ht="13.5" thickBot="1">
      <c r="B72" s="160" t="str">
        <f t="shared" si="7"/>
        <v/>
      </c>
      <c r="C72" s="487">
        <f>IF(D11="","-",+C71+1)</f>
        <v>2076</v>
      </c>
      <c r="D72" s="610">
        <f>IF(F71+SUM(E$17:E71)=D$10,F71,D$10-SUM(E$17:E71))</f>
        <v>0</v>
      </c>
      <c r="E72" s="489">
        <f>IF(+I$14&lt;F71,I$14,D72)</f>
        <v>0</v>
      </c>
      <c r="F72" s="488">
        <f>+D72-E72</f>
        <v>0</v>
      </c>
      <c r="G72" s="542">
        <f>(D72+F72)/2*I$12+E72</f>
        <v>0</v>
      </c>
      <c r="H72" s="433">
        <f>+(D72+F72)/2*I$13+E72</f>
        <v>0</v>
      </c>
      <c r="I72" s="491">
        <f>H72-G72</f>
        <v>0</v>
      </c>
      <c r="J72" s="473"/>
      <c r="K72" s="492"/>
      <c r="L72" s="493">
        <f t="shared" si="0"/>
        <v>0</v>
      </c>
      <c r="M72" s="492"/>
      <c r="N72" s="493">
        <f t="shared" si="1"/>
        <v>0</v>
      </c>
      <c r="O72" s="493">
        <f t="shared" si="2"/>
        <v>0</v>
      </c>
      <c r="P72" s="241"/>
    </row>
    <row r="73" spans="2:16">
      <c r="C73" s="345" t="s">
        <v>77</v>
      </c>
      <c r="D73" s="346"/>
      <c r="E73" s="346">
        <f>SUM(E17:E72)</f>
        <v>1822549</v>
      </c>
      <c r="F73" s="346"/>
      <c r="G73" s="346">
        <f>SUM(G17:G72)</f>
        <v>5792484.092048605</v>
      </c>
      <c r="H73" s="346">
        <f>SUM(H17:H72)</f>
        <v>5792484.092048605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30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267630.01874077739</v>
      </c>
      <c r="N87" s="506">
        <f>IF(J92&lt;D11,0,VLOOKUP(J92,C17:O72,11))</f>
        <v>267630.01874077739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81104.253698891524</v>
      </c>
      <c r="N88" s="510">
        <f>IF(J92&lt;D11,0,VLOOKUP(J92,C99:P154,7))</f>
        <v>81104.253698891524</v>
      </c>
      <c r="O88" s="511">
        <f>+N88-M88</f>
        <v>0</v>
      </c>
      <c r="P88" s="231"/>
    </row>
    <row r="89" spans="1:16" ht="13.5" thickBot="1">
      <c r="C89" s="429" t="s">
        <v>92</v>
      </c>
      <c r="D89" s="517" t="str">
        <f>D7</f>
        <v>Tulsa SE - E 21st St Tap 138 kV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-186525.76504188587</v>
      </c>
      <c r="N89" s="515">
        <f>+N88-N87</f>
        <v>-186525.76504188587</v>
      </c>
      <c r="O89" s="516">
        <f>+O88-O87</f>
        <v>0</v>
      </c>
      <c r="P89" s="231"/>
    </row>
    <row r="90" spans="1:16" ht="13.5" thickBot="1">
      <c r="C90" s="494"/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TP2020033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524">
        <v>0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f>+D11</f>
        <v>2021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3">
        <f>+D12</f>
        <v>11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0</v>
      </c>
      <c r="K96" s="346"/>
      <c r="L96" s="346"/>
      <c r="M96" s="346"/>
      <c r="N96" s="346"/>
      <c r="O96" s="346"/>
      <c r="P96" s="241"/>
    </row>
    <row r="97" spans="1:16" ht="38.25">
      <c r="A97" s="626"/>
      <c r="B97" s="626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 ht="13.5" thickBot="1">
      <c r="C99" s="470">
        <f>IF(D93= "","-",D93)</f>
        <v>2021</v>
      </c>
      <c r="D99" s="634">
        <v>0</v>
      </c>
      <c r="E99" s="635">
        <v>0</v>
      </c>
      <c r="F99" s="636">
        <v>0</v>
      </c>
      <c r="G99" s="637">
        <v>0</v>
      </c>
      <c r="H99" s="637">
        <v>0</v>
      </c>
      <c r="I99" s="637">
        <v>0</v>
      </c>
      <c r="J99" s="67">
        <f>+I99-H99</f>
        <v>0</v>
      </c>
      <c r="K99" s="476"/>
      <c r="L99" s="475">
        <f>+H99</f>
        <v>0</v>
      </c>
      <c r="M99" s="475">
        <f t="shared" ref="M99:M130" si="12">IF(L99&lt;&gt;0,+H99-L99,0)</f>
        <v>0</v>
      </c>
      <c r="N99" s="475">
        <f>+I99</f>
        <v>0</v>
      </c>
      <c r="O99" s="475">
        <f t="shared" ref="O99:O130" si="13">IF(N99&lt;&gt;0,+I99-N99,0)</f>
        <v>0</v>
      </c>
      <c r="P99" s="475">
        <f t="shared" ref="P99:P130" si="14">+O99-M99</f>
        <v>0</v>
      </c>
    </row>
    <row r="100" spans="1:16">
      <c r="B100" s="160" t="str">
        <f>IF(D100=F99,"","IU")</f>
        <v/>
      </c>
      <c r="C100" s="631">
        <f>IF(D93="","-",+C99+1)</f>
        <v>2022</v>
      </c>
      <c r="D100" s="63">
        <v>0</v>
      </c>
      <c r="E100" s="69">
        <v>0</v>
      </c>
      <c r="F100" s="68">
        <v>1504560.18</v>
      </c>
      <c r="G100" s="68">
        <v>752280.09</v>
      </c>
      <c r="H100" s="130">
        <v>81104.253698891524</v>
      </c>
      <c r="I100" s="139">
        <v>81104.253698891524</v>
      </c>
      <c r="J100" s="67">
        <f t="shared" ref="J100:J130" si="15">+I100-H100</f>
        <v>0</v>
      </c>
      <c r="K100" s="476"/>
      <c r="L100" s="475">
        <f>+H100</f>
        <v>81104.253698891524</v>
      </c>
      <c r="M100" s="475">
        <f t="shared" ref="M100" si="16">IF(L100&lt;&gt;0,+H100-L100,0)</f>
        <v>0</v>
      </c>
      <c r="N100" s="475">
        <f>+I100</f>
        <v>81104.253698891524</v>
      </c>
      <c r="O100" s="475">
        <f t="shared" ref="O100" si="17">IF(N100&lt;&gt;0,+I100-N100,0)</f>
        <v>0</v>
      </c>
      <c r="P100" s="475">
        <f t="shared" ref="P100" si="18">+O100-M100</f>
        <v>0</v>
      </c>
    </row>
    <row r="101" spans="1:16">
      <c r="B101" s="160" t="str">
        <f t="shared" ref="B101:B154" si="19">IF(D101=F100,"","IU")</f>
        <v>IU</v>
      </c>
      <c r="C101" s="470">
        <f>IF(D93="","-",+C100+1)</f>
        <v>2023</v>
      </c>
      <c r="D101" s="63">
        <f>IF(F100+SUM(E$99:E100)=D$92,F100,D$92-SUM(E$99:E100))</f>
        <v>0</v>
      </c>
      <c r="E101" s="69">
        <f t="shared" ref="E101:E154" si="20">IF(+J$96&lt;F100,J$96,D101)</f>
        <v>0</v>
      </c>
      <c r="F101" s="68">
        <f t="shared" ref="F101:F154" si="21">+D101-E101</f>
        <v>0</v>
      </c>
      <c r="G101" s="68">
        <f t="shared" ref="G101:G154" si="22">+(F101+D101)/2</f>
        <v>0</v>
      </c>
      <c r="H101" s="130">
        <f t="shared" ref="H101:H154" si="23">+J$94*G101+E101</f>
        <v>0</v>
      </c>
      <c r="I101" s="139">
        <f t="shared" ref="I101:I154" si="24">+J$95*G101+E101</f>
        <v>0</v>
      </c>
      <c r="J101" s="67">
        <f t="shared" si="15"/>
        <v>0</v>
      </c>
      <c r="K101" s="476"/>
      <c r="L101" s="485"/>
      <c r="M101" s="476">
        <f t="shared" si="12"/>
        <v>0</v>
      </c>
      <c r="N101" s="485"/>
      <c r="O101" s="476">
        <f t="shared" si="13"/>
        <v>0</v>
      </c>
      <c r="P101" s="476">
        <f t="shared" si="14"/>
        <v>0</v>
      </c>
    </row>
    <row r="102" spans="1:16">
      <c r="B102" s="160" t="str">
        <f t="shared" si="19"/>
        <v/>
      </c>
      <c r="C102" s="470">
        <f>IF(D93="","-",+C101+1)</f>
        <v>2024</v>
      </c>
      <c r="D102" s="63">
        <f>IF(F101+SUM(E$99:E101)=D$92,F101,D$92-SUM(E$99:E101))</f>
        <v>0</v>
      </c>
      <c r="E102" s="69">
        <f t="shared" si="20"/>
        <v>0</v>
      </c>
      <c r="F102" s="68">
        <f t="shared" si="21"/>
        <v>0</v>
      </c>
      <c r="G102" s="68">
        <f t="shared" si="22"/>
        <v>0</v>
      </c>
      <c r="H102" s="130">
        <f t="shared" si="23"/>
        <v>0</v>
      </c>
      <c r="I102" s="139">
        <f t="shared" si="24"/>
        <v>0</v>
      </c>
      <c r="J102" s="67">
        <f t="shared" si="15"/>
        <v>0</v>
      </c>
      <c r="K102" s="476"/>
      <c r="L102" s="485"/>
      <c r="M102" s="476">
        <f t="shared" si="12"/>
        <v>0</v>
      </c>
      <c r="N102" s="485"/>
      <c r="O102" s="476">
        <f t="shared" si="13"/>
        <v>0</v>
      </c>
      <c r="P102" s="476">
        <f t="shared" si="14"/>
        <v>0</v>
      </c>
    </row>
    <row r="103" spans="1:16">
      <c r="B103" s="160" t="str">
        <f t="shared" si="19"/>
        <v/>
      </c>
      <c r="C103" s="470">
        <f>IF(D93="","-",+C102+1)</f>
        <v>2025</v>
      </c>
      <c r="D103" s="63">
        <f>IF(F102+SUM(E$99:E102)=D$92,F102,D$92-SUM(E$99:E102))</f>
        <v>0</v>
      </c>
      <c r="E103" s="69">
        <f t="shared" si="20"/>
        <v>0</v>
      </c>
      <c r="F103" s="68">
        <f t="shared" si="21"/>
        <v>0</v>
      </c>
      <c r="G103" s="68">
        <f t="shared" si="22"/>
        <v>0</v>
      </c>
      <c r="H103" s="130">
        <f t="shared" si="23"/>
        <v>0</v>
      </c>
      <c r="I103" s="139">
        <f t="shared" si="24"/>
        <v>0</v>
      </c>
      <c r="J103" s="67">
        <f t="shared" si="15"/>
        <v>0</v>
      </c>
      <c r="K103" s="476"/>
      <c r="L103" s="485"/>
      <c r="M103" s="476">
        <f t="shared" si="12"/>
        <v>0</v>
      </c>
      <c r="N103" s="485"/>
      <c r="O103" s="476">
        <f t="shared" si="13"/>
        <v>0</v>
      </c>
      <c r="P103" s="476">
        <f t="shared" si="14"/>
        <v>0</v>
      </c>
    </row>
    <row r="104" spans="1:16">
      <c r="B104" s="160" t="str">
        <f t="shared" si="19"/>
        <v/>
      </c>
      <c r="C104" s="470">
        <f>IF(D93="","-",+C103+1)</f>
        <v>2026</v>
      </c>
      <c r="D104" s="63">
        <f>IF(F103+SUM(E$99:E103)=D$92,F103,D$92-SUM(E$99:E103))</f>
        <v>0</v>
      </c>
      <c r="E104" s="69">
        <f t="shared" si="20"/>
        <v>0</v>
      </c>
      <c r="F104" s="68">
        <f t="shared" si="21"/>
        <v>0</v>
      </c>
      <c r="G104" s="68">
        <f t="shared" si="22"/>
        <v>0</v>
      </c>
      <c r="H104" s="130">
        <f t="shared" si="23"/>
        <v>0</v>
      </c>
      <c r="I104" s="139">
        <f t="shared" si="24"/>
        <v>0</v>
      </c>
      <c r="J104" s="67">
        <f t="shared" si="15"/>
        <v>0</v>
      </c>
      <c r="K104" s="476"/>
      <c r="L104" s="485"/>
      <c r="M104" s="476">
        <f t="shared" si="12"/>
        <v>0</v>
      </c>
      <c r="N104" s="485"/>
      <c r="O104" s="476">
        <f t="shared" si="13"/>
        <v>0</v>
      </c>
      <c r="P104" s="476">
        <f t="shared" si="14"/>
        <v>0</v>
      </c>
    </row>
    <row r="105" spans="1:16">
      <c r="B105" s="160" t="str">
        <f t="shared" si="19"/>
        <v/>
      </c>
      <c r="C105" s="470">
        <f>IF(D93="","-",+C104+1)</f>
        <v>2027</v>
      </c>
      <c r="D105" s="63">
        <f>IF(F104+SUM(E$99:E104)=D$92,F104,D$92-SUM(E$99:E104))</f>
        <v>0</v>
      </c>
      <c r="E105" s="69">
        <f t="shared" si="20"/>
        <v>0</v>
      </c>
      <c r="F105" s="68">
        <f t="shared" si="21"/>
        <v>0</v>
      </c>
      <c r="G105" s="68">
        <f t="shared" si="22"/>
        <v>0</v>
      </c>
      <c r="H105" s="130">
        <f t="shared" si="23"/>
        <v>0</v>
      </c>
      <c r="I105" s="139">
        <f t="shared" si="24"/>
        <v>0</v>
      </c>
      <c r="J105" s="67">
        <f t="shared" si="15"/>
        <v>0</v>
      </c>
      <c r="K105" s="476"/>
      <c r="L105" s="485"/>
      <c r="M105" s="476">
        <f t="shared" si="12"/>
        <v>0</v>
      </c>
      <c r="N105" s="485"/>
      <c r="O105" s="476">
        <f t="shared" si="13"/>
        <v>0</v>
      </c>
      <c r="P105" s="476">
        <f t="shared" si="14"/>
        <v>0</v>
      </c>
    </row>
    <row r="106" spans="1:16">
      <c r="B106" s="160" t="str">
        <f t="shared" si="19"/>
        <v/>
      </c>
      <c r="C106" s="470">
        <f>IF(D93="","-",+C105+1)</f>
        <v>2028</v>
      </c>
      <c r="D106" s="63">
        <f>IF(F105+SUM(E$99:E105)=D$92,F105,D$92-SUM(E$99:E105))</f>
        <v>0</v>
      </c>
      <c r="E106" s="69">
        <f t="shared" si="20"/>
        <v>0</v>
      </c>
      <c r="F106" s="68">
        <f t="shared" si="21"/>
        <v>0</v>
      </c>
      <c r="G106" s="68">
        <f t="shared" si="22"/>
        <v>0</v>
      </c>
      <c r="H106" s="130">
        <f t="shared" si="23"/>
        <v>0</v>
      </c>
      <c r="I106" s="139">
        <f t="shared" si="24"/>
        <v>0</v>
      </c>
      <c r="J106" s="67">
        <f t="shared" si="15"/>
        <v>0</v>
      </c>
      <c r="K106" s="476"/>
      <c r="L106" s="485"/>
      <c r="M106" s="476">
        <f t="shared" si="12"/>
        <v>0</v>
      </c>
      <c r="N106" s="485"/>
      <c r="O106" s="476">
        <f t="shared" si="13"/>
        <v>0</v>
      </c>
      <c r="P106" s="476">
        <f t="shared" si="14"/>
        <v>0</v>
      </c>
    </row>
    <row r="107" spans="1:16">
      <c r="B107" s="160" t="str">
        <f t="shared" si="19"/>
        <v/>
      </c>
      <c r="C107" s="470">
        <f>IF(D93="","-",+C106+1)</f>
        <v>2029</v>
      </c>
      <c r="D107" s="63">
        <f>IF(F106+SUM(E$99:E106)=D$92,F106,D$92-SUM(E$99:E106))</f>
        <v>0</v>
      </c>
      <c r="E107" s="69">
        <f t="shared" si="20"/>
        <v>0</v>
      </c>
      <c r="F107" s="68">
        <f t="shared" si="21"/>
        <v>0</v>
      </c>
      <c r="G107" s="68">
        <f t="shared" si="22"/>
        <v>0</v>
      </c>
      <c r="H107" s="130">
        <f t="shared" si="23"/>
        <v>0</v>
      </c>
      <c r="I107" s="139">
        <f t="shared" si="24"/>
        <v>0</v>
      </c>
      <c r="J107" s="67">
        <f t="shared" si="15"/>
        <v>0</v>
      </c>
      <c r="K107" s="476"/>
      <c r="L107" s="485"/>
      <c r="M107" s="476">
        <f t="shared" si="12"/>
        <v>0</v>
      </c>
      <c r="N107" s="485"/>
      <c r="O107" s="476">
        <f t="shared" si="13"/>
        <v>0</v>
      </c>
      <c r="P107" s="476">
        <f t="shared" si="14"/>
        <v>0</v>
      </c>
    </row>
    <row r="108" spans="1:16">
      <c r="B108" s="160" t="str">
        <f t="shared" si="19"/>
        <v/>
      </c>
      <c r="C108" s="470">
        <f>IF(D93="","-",+C107+1)</f>
        <v>2030</v>
      </c>
      <c r="D108" s="63">
        <f>IF(F107+SUM(E$99:E107)=D$92,F107,D$92-SUM(E$99:E107))</f>
        <v>0</v>
      </c>
      <c r="E108" s="69">
        <f t="shared" si="20"/>
        <v>0</v>
      </c>
      <c r="F108" s="68">
        <f t="shared" si="21"/>
        <v>0</v>
      </c>
      <c r="G108" s="68">
        <f t="shared" si="22"/>
        <v>0</v>
      </c>
      <c r="H108" s="130">
        <f t="shared" si="23"/>
        <v>0</v>
      </c>
      <c r="I108" s="139">
        <f t="shared" si="24"/>
        <v>0</v>
      </c>
      <c r="J108" s="67">
        <f t="shared" si="15"/>
        <v>0</v>
      </c>
      <c r="K108" s="476"/>
      <c r="L108" s="485"/>
      <c r="M108" s="476">
        <f t="shared" si="12"/>
        <v>0</v>
      </c>
      <c r="N108" s="485"/>
      <c r="O108" s="476">
        <f t="shared" si="13"/>
        <v>0</v>
      </c>
      <c r="P108" s="476">
        <f t="shared" si="14"/>
        <v>0</v>
      </c>
    </row>
    <row r="109" spans="1:16">
      <c r="B109" s="160" t="str">
        <f t="shared" si="19"/>
        <v/>
      </c>
      <c r="C109" s="470">
        <f>IF(D93="","-",+C108+1)</f>
        <v>2031</v>
      </c>
      <c r="D109" s="63">
        <f>IF(F108+SUM(E$99:E108)=D$92,F108,D$92-SUM(E$99:E108))</f>
        <v>0</v>
      </c>
      <c r="E109" s="69">
        <f t="shared" si="20"/>
        <v>0</v>
      </c>
      <c r="F109" s="68">
        <f t="shared" si="21"/>
        <v>0</v>
      </c>
      <c r="G109" s="68">
        <f t="shared" si="22"/>
        <v>0</v>
      </c>
      <c r="H109" s="130">
        <f t="shared" si="23"/>
        <v>0</v>
      </c>
      <c r="I109" s="139">
        <f t="shared" si="24"/>
        <v>0</v>
      </c>
      <c r="J109" s="67">
        <f t="shared" si="15"/>
        <v>0</v>
      </c>
      <c r="K109" s="476"/>
      <c r="L109" s="485"/>
      <c r="M109" s="476">
        <f t="shared" si="12"/>
        <v>0</v>
      </c>
      <c r="N109" s="485"/>
      <c r="O109" s="476">
        <f t="shared" si="13"/>
        <v>0</v>
      </c>
      <c r="P109" s="476">
        <f t="shared" si="14"/>
        <v>0</v>
      </c>
    </row>
    <row r="110" spans="1:16">
      <c r="B110" s="160" t="str">
        <f t="shared" si="19"/>
        <v/>
      </c>
      <c r="C110" s="470">
        <f>IF(D93="","-",+C109+1)</f>
        <v>2032</v>
      </c>
      <c r="D110" s="63">
        <f>IF(F109+SUM(E$99:E109)=D$92,F109,D$92-SUM(E$99:E109))</f>
        <v>0</v>
      </c>
      <c r="E110" s="69">
        <f t="shared" si="20"/>
        <v>0</v>
      </c>
      <c r="F110" s="68">
        <f t="shared" si="21"/>
        <v>0</v>
      </c>
      <c r="G110" s="68">
        <f t="shared" si="22"/>
        <v>0</v>
      </c>
      <c r="H110" s="130">
        <f t="shared" si="23"/>
        <v>0</v>
      </c>
      <c r="I110" s="139">
        <f t="shared" si="24"/>
        <v>0</v>
      </c>
      <c r="J110" s="67">
        <f t="shared" si="15"/>
        <v>0</v>
      </c>
      <c r="K110" s="476"/>
      <c r="L110" s="485"/>
      <c r="M110" s="476">
        <f t="shared" si="12"/>
        <v>0</v>
      </c>
      <c r="N110" s="485"/>
      <c r="O110" s="476">
        <f t="shared" si="13"/>
        <v>0</v>
      </c>
      <c r="P110" s="476">
        <f t="shared" si="14"/>
        <v>0</v>
      </c>
    </row>
    <row r="111" spans="1:16">
      <c r="B111" s="160" t="str">
        <f t="shared" si="19"/>
        <v/>
      </c>
      <c r="C111" s="470">
        <f>IF(D93="","-",+C110+1)</f>
        <v>2033</v>
      </c>
      <c r="D111" s="63">
        <f>IF(F110+SUM(E$99:E110)=D$92,F110,D$92-SUM(E$99:E110))</f>
        <v>0</v>
      </c>
      <c r="E111" s="69">
        <f t="shared" si="20"/>
        <v>0</v>
      </c>
      <c r="F111" s="68">
        <f t="shared" si="21"/>
        <v>0</v>
      </c>
      <c r="G111" s="68">
        <f t="shared" si="22"/>
        <v>0</v>
      </c>
      <c r="H111" s="130">
        <f t="shared" si="23"/>
        <v>0</v>
      </c>
      <c r="I111" s="139">
        <f t="shared" si="24"/>
        <v>0</v>
      </c>
      <c r="J111" s="67">
        <f t="shared" si="15"/>
        <v>0</v>
      </c>
      <c r="K111" s="476"/>
      <c r="L111" s="485"/>
      <c r="M111" s="476">
        <f t="shared" si="12"/>
        <v>0</v>
      </c>
      <c r="N111" s="485"/>
      <c r="O111" s="476">
        <f t="shared" si="13"/>
        <v>0</v>
      </c>
      <c r="P111" s="476">
        <f t="shared" si="14"/>
        <v>0</v>
      </c>
    </row>
    <row r="112" spans="1:16">
      <c r="B112" s="160" t="str">
        <f t="shared" si="19"/>
        <v/>
      </c>
      <c r="C112" s="470">
        <f>IF(D93="","-",+C111+1)</f>
        <v>2034</v>
      </c>
      <c r="D112" s="63">
        <f>IF(F111+SUM(E$99:E111)=D$92,F111,D$92-SUM(E$99:E111))</f>
        <v>0</v>
      </c>
      <c r="E112" s="69">
        <f t="shared" si="20"/>
        <v>0</v>
      </c>
      <c r="F112" s="68">
        <f t="shared" si="21"/>
        <v>0</v>
      </c>
      <c r="G112" s="68">
        <f t="shared" si="22"/>
        <v>0</v>
      </c>
      <c r="H112" s="130">
        <f t="shared" si="23"/>
        <v>0</v>
      </c>
      <c r="I112" s="139">
        <f t="shared" si="24"/>
        <v>0</v>
      </c>
      <c r="J112" s="67">
        <f t="shared" si="15"/>
        <v>0</v>
      </c>
      <c r="K112" s="476"/>
      <c r="L112" s="485"/>
      <c r="M112" s="476">
        <f t="shared" si="12"/>
        <v>0</v>
      </c>
      <c r="N112" s="485"/>
      <c r="O112" s="476">
        <f t="shared" si="13"/>
        <v>0</v>
      </c>
      <c r="P112" s="476">
        <f t="shared" si="14"/>
        <v>0</v>
      </c>
    </row>
    <row r="113" spans="2:16">
      <c r="B113" s="160" t="str">
        <f t="shared" si="19"/>
        <v/>
      </c>
      <c r="C113" s="470">
        <f>IF(D93="","-",+C112+1)</f>
        <v>2035</v>
      </c>
      <c r="D113" s="63">
        <f>IF(F112+SUM(E$99:E112)=D$92,F112,D$92-SUM(E$99:E112))</f>
        <v>0</v>
      </c>
      <c r="E113" s="69">
        <f t="shared" si="20"/>
        <v>0</v>
      </c>
      <c r="F113" s="68">
        <f t="shared" si="21"/>
        <v>0</v>
      </c>
      <c r="G113" s="68">
        <f t="shared" si="22"/>
        <v>0</v>
      </c>
      <c r="H113" s="130">
        <f t="shared" si="23"/>
        <v>0</v>
      </c>
      <c r="I113" s="139">
        <f t="shared" si="24"/>
        <v>0</v>
      </c>
      <c r="J113" s="67">
        <f t="shared" si="15"/>
        <v>0</v>
      </c>
      <c r="K113" s="476"/>
      <c r="L113" s="485"/>
      <c r="M113" s="476">
        <f t="shared" si="12"/>
        <v>0</v>
      </c>
      <c r="N113" s="485"/>
      <c r="O113" s="476">
        <f t="shared" si="13"/>
        <v>0</v>
      </c>
      <c r="P113" s="476">
        <f t="shared" si="14"/>
        <v>0</v>
      </c>
    </row>
    <row r="114" spans="2:16">
      <c r="B114" s="160" t="str">
        <f t="shared" si="19"/>
        <v/>
      </c>
      <c r="C114" s="470">
        <f>IF(D93="","-",+C113+1)</f>
        <v>2036</v>
      </c>
      <c r="D114" s="63">
        <f>IF(F113+SUM(E$99:E113)=D$92,F113,D$92-SUM(E$99:E113))</f>
        <v>0</v>
      </c>
      <c r="E114" s="69">
        <f t="shared" si="20"/>
        <v>0</v>
      </c>
      <c r="F114" s="68">
        <f t="shared" si="21"/>
        <v>0</v>
      </c>
      <c r="G114" s="68">
        <f t="shared" si="22"/>
        <v>0</v>
      </c>
      <c r="H114" s="130">
        <f t="shared" si="23"/>
        <v>0</v>
      </c>
      <c r="I114" s="139">
        <f t="shared" si="24"/>
        <v>0</v>
      </c>
      <c r="J114" s="67">
        <f t="shared" si="15"/>
        <v>0</v>
      </c>
      <c r="K114" s="476"/>
      <c r="L114" s="485"/>
      <c r="M114" s="476">
        <f t="shared" si="12"/>
        <v>0</v>
      </c>
      <c r="N114" s="485"/>
      <c r="O114" s="476">
        <f t="shared" si="13"/>
        <v>0</v>
      </c>
      <c r="P114" s="476">
        <f t="shared" si="14"/>
        <v>0</v>
      </c>
    </row>
    <row r="115" spans="2:16">
      <c r="B115" s="160" t="str">
        <f t="shared" si="19"/>
        <v/>
      </c>
      <c r="C115" s="470">
        <f>IF(D93="","-",+C114+1)</f>
        <v>2037</v>
      </c>
      <c r="D115" s="63">
        <f>IF(F114+SUM(E$99:E114)=D$92,F114,D$92-SUM(E$99:E114))</f>
        <v>0</v>
      </c>
      <c r="E115" s="69">
        <f t="shared" si="20"/>
        <v>0</v>
      </c>
      <c r="F115" s="68">
        <f t="shared" si="21"/>
        <v>0</v>
      </c>
      <c r="G115" s="68">
        <f t="shared" si="22"/>
        <v>0</v>
      </c>
      <c r="H115" s="130">
        <f t="shared" si="23"/>
        <v>0</v>
      </c>
      <c r="I115" s="139">
        <f t="shared" si="24"/>
        <v>0</v>
      </c>
      <c r="J115" s="67">
        <f t="shared" si="15"/>
        <v>0</v>
      </c>
      <c r="K115" s="476"/>
      <c r="L115" s="485"/>
      <c r="M115" s="476">
        <f t="shared" si="12"/>
        <v>0</v>
      </c>
      <c r="N115" s="485"/>
      <c r="O115" s="476">
        <f t="shared" si="13"/>
        <v>0</v>
      </c>
      <c r="P115" s="476">
        <f t="shared" si="14"/>
        <v>0</v>
      </c>
    </row>
    <row r="116" spans="2:16">
      <c r="B116" s="160" t="str">
        <f t="shared" si="19"/>
        <v/>
      </c>
      <c r="C116" s="470">
        <f>IF(D93="","-",+C115+1)</f>
        <v>2038</v>
      </c>
      <c r="D116" s="63">
        <f>IF(F115+SUM(E$99:E115)=D$92,F115,D$92-SUM(E$99:E115))</f>
        <v>0</v>
      </c>
      <c r="E116" s="69">
        <f t="shared" si="20"/>
        <v>0</v>
      </c>
      <c r="F116" s="68">
        <f t="shared" si="21"/>
        <v>0</v>
      </c>
      <c r="G116" s="68">
        <f t="shared" si="22"/>
        <v>0</v>
      </c>
      <c r="H116" s="130">
        <f t="shared" si="23"/>
        <v>0</v>
      </c>
      <c r="I116" s="139">
        <f t="shared" si="24"/>
        <v>0</v>
      </c>
      <c r="J116" s="67">
        <f t="shared" si="15"/>
        <v>0</v>
      </c>
      <c r="K116" s="476"/>
      <c r="L116" s="485"/>
      <c r="M116" s="476">
        <f t="shared" si="12"/>
        <v>0</v>
      </c>
      <c r="N116" s="485"/>
      <c r="O116" s="476">
        <f t="shared" si="13"/>
        <v>0</v>
      </c>
      <c r="P116" s="476">
        <f t="shared" si="14"/>
        <v>0</v>
      </c>
    </row>
    <row r="117" spans="2:16">
      <c r="B117" s="160" t="str">
        <f t="shared" si="19"/>
        <v/>
      </c>
      <c r="C117" s="470">
        <f>IF(D93="","-",+C116+1)</f>
        <v>2039</v>
      </c>
      <c r="D117" s="63">
        <f>IF(F116+SUM(E$99:E116)=D$92,F116,D$92-SUM(E$99:E116))</f>
        <v>0</v>
      </c>
      <c r="E117" s="69">
        <f t="shared" si="20"/>
        <v>0</v>
      </c>
      <c r="F117" s="68">
        <f t="shared" si="21"/>
        <v>0</v>
      </c>
      <c r="G117" s="68">
        <f t="shared" si="22"/>
        <v>0</v>
      </c>
      <c r="H117" s="130">
        <f t="shared" si="23"/>
        <v>0</v>
      </c>
      <c r="I117" s="139">
        <f t="shared" si="24"/>
        <v>0</v>
      </c>
      <c r="J117" s="67">
        <f t="shared" si="15"/>
        <v>0</v>
      </c>
      <c r="K117" s="476"/>
      <c r="L117" s="485"/>
      <c r="M117" s="476">
        <f t="shared" si="12"/>
        <v>0</v>
      </c>
      <c r="N117" s="485"/>
      <c r="O117" s="476">
        <f t="shared" si="13"/>
        <v>0</v>
      </c>
      <c r="P117" s="476">
        <f t="shared" si="14"/>
        <v>0</v>
      </c>
    </row>
    <row r="118" spans="2:16">
      <c r="B118" s="160" t="str">
        <f t="shared" si="19"/>
        <v/>
      </c>
      <c r="C118" s="470">
        <f>IF(D93="","-",+C117+1)</f>
        <v>2040</v>
      </c>
      <c r="D118" s="63">
        <f>IF(F117+SUM(E$99:E117)=D$92,F117,D$92-SUM(E$99:E117))</f>
        <v>0</v>
      </c>
      <c r="E118" s="69">
        <f t="shared" si="20"/>
        <v>0</v>
      </c>
      <c r="F118" s="68">
        <f t="shared" si="21"/>
        <v>0</v>
      </c>
      <c r="G118" s="68">
        <f t="shared" si="22"/>
        <v>0</v>
      </c>
      <c r="H118" s="130">
        <f t="shared" si="23"/>
        <v>0</v>
      </c>
      <c r="I118" s="139">
        <f t="shared" si="24"/>
        <v>0</v>
      </c>
      <c r="J118" s="67">
        <f t="shared" si="15"/>
        <v>0</v>
      </c>
      <c r="K118" s="476"/>
      <c r="L118" s="485"/>
      <c r="M118" s="476">
        <f t="shared" si="12"/>
        <v>0</v>
      </c>
      <c r="N118" s="485"/>
      <c r="O118" s="476">
        <f t="shared" si="13"/>
        <v>0</v>
      </c>
      <c r="P118" s="476">
        <f t="shared" si="14"/>
        <v>0</v>
      </c>
    </row>
    <row r="119" spans="2:16">
      <c r="B119" s="160" t="str">
        <f t="shared" si="19"/>
        <v/>
      </c>
      <c r="C119" s="470">
        <f>IF(D93="","-",+C118+1)</f>
        <v>2041</v>
      </c>
      <c r="D119" s="63">
        <f>IF(F118+SUM(E$99:E118)=D$92,F118,D$92-SUM(E$99:E118))</f>
        <v>0</v>
      </c>
      <c r="E119" s="69">
        <f t="shared" si="20"/>
        <v>0</v>
      </c>
      <c r="F119" s="68">
        <f t="shared" si="21"/>
        <v>0</v>
      </c>
      <c r="G119" s="68">
        <f t="shared" si="22"/>
        <v>0</v>
      </c>
      <c r="H119" s="130">
        <f t="shared" si="23"/>
        <v>0</v>
      </c>
      <c r="I119" s="139">
        <f t="shared" si="24"/>
        <v>0</v>
      </c>
      <c r="J119" s="67">
        <f t="shared" si="15"/>
        <v>0</v>
      </c>
      <c r="K119" s="476"/>
      <c r="L119" s="485"/>
      <c r="M119" s="476">
        <f t="shared" si="12"/>
        <v>0</v>
      </c>
      <c r="N119" s="485"/>
      <c r="O119" s="476">
        <f t="shared" si="13"/>
        <v>0</v>
      </c>
      <c r="P119" s="476">
        <f t="shared" si="14"/>
        <v>0</v>
      </c>
    </row>
    <row r="120" spans="2:16">
      <c r="B120" s="160" t="str">
        <f t="shared" si="19"/>
        <v/>
      </c>
      <c r="C120" s="470">
        <f>IF(D93="","-",+C119+1)</f>
        <v>2042</v>
      </c>
      <c r="D120" s="63">
        <f>IF(F119+SUM(E$99:E119)=D$92,F119,D$92-SUM(E$99:E119))</f>
        <v>0</v>
      </c>
      <c r="E120" s="69">
        <f t="shared" si="20"/>
        <v>0</v>
      </c>
      <c r="F120" s="68">
        <f t="shared" si="21"/>
        <v>0</v>
      </c>
      <c r="G120" s="68">
        <f t="shared" si="22"/>
        <v>0</v>
      </c>
      <c r="H120" s="130">
        <f t="shared" si="23"/>
        <v>0</v>
      </c>
      <c r="I120" s="139">
        <f t="shared" si="24"/>
        <v>0</v>
      </c>
      <c r="J120" s="67">
        <f t="shared" si="15"/>
        <v>0</v>
      </c>
      <c r="K120" s="476"/>
      <c r="L120" s="485"/>
      <c r="M120" s="476">
        <f t="shared" si="12"/>
        <v>0</v>
      </c>
      <c r="N120" s="485"/>
      <c r="O120" s="476">
        <f t="shared" si="13"/>
        <v>0</v>
      </c>
      <c r="P120" s="476">
        <f t="shared" si="14"/>
        <v>0</v>
      </c>
    </row>
    <row r="121" spans="2:16">
      <c r="B121" s="160" t="str">
        <f t="shared" si="19"/>
        <v/>
      </c>
      <c r="C121" s="470">
        <f>IF(D93="","-",+C120+1)</f>
        <v>2043</v>
      </c>
      <c r="D121" s="63">
        <f>IF(F120+SUM(E$99:E120)=D$92,F120,D$92-SUM(E$99:E120))</f>
        <v>0</v>
      </c>
      <c r="E121" s="69">
        <f t="shared" si="20"/>
        <v>0</v>
      </c>
      <c r="F121" s="68">
        <f t="shared" si="21"/>
        <v>0</v>
      </c>
      <c r="G121" s="68">
        <f t="shared" si="22"/>
        <v>0</v>
      </c>
      <c r="H121" s="130">
        <f t="shared" si="23"/>
        <v>0</v>
      </c>
      <c r="I121" s="139">
        <f t="shared" si="24"/>
        <v>0</v>
      </c>
      <c r="J121" s="67">
        <f t="shared" si="15"/>
        <v>0</v>
      </c>
      <c r="K121" s="476"/>
      <c r="L121" s="485"/>
      <c r="M121" s="476">
        <f t="shared" si="12"/>
        <v>0</v>
      </c>
      <c r="N121" s="485"/>
      <c r="O121" s="476">
        <f t="shared" si="13"/>
        <v>0</v>
      </c>
      <c r="P121" s="476">
        <f t="shared" si="14"/>
        <v>0</v>
      </c>
    </row>
    <row r="122" spans="2:16">
      <c r="B122" s="160" t="str">
        <f t="shared" si="19"/>
        <v/>
      </c>
      <c r="C122" s="470">
        <f>IF(D93="","-",+C121+1)</f>
        <v>2044</v>
      </c>
      <c r="D122" s="63">
        <f>IF(F121+SUM(E$99:E121)=D$92,F121,D$92-SUM(E$99:E121))</f>
        <v>0</v>
      </c>
      <c r="E122" s="69">
        <f t="shared" si="20"/>
        <v>0</v>
      </c>
      <c r="F122" s="68">
        <f t="shared" si="21"/>
        <v>0</v>
      </c>
      <c r="G122" s="68">
        <f t="shared" si="22"/>
        <v>0</v>
      </c>
      <c r="H122" s="130">
        <f t="shared" si="23"/>
        <v>0</v>
      </c>
      <c r="I122" s="139">
        <f t="shared" si="24"/>
        <v>0</v>
      </c>
      <c r="J122" s="67">
        <f t="shared" si="15"/>
        <v>0</v>
      </c>
      <c r="K122" s="476"/>
      <c r="L122" s="485"/>
      <c r="M122" s="476">
        <f t="shared" si="12"/>
        <v>0</v>
      </c>
      <c r="N122" s="485"/>
      <c r="O122" s="476">
        <f t="shared" si="13"/>
        <v>0</v>
      </c>
      <c r="P122" s="476">
        <f t="shared" si="14"/>
        <v>0</v>
      </c>
    </row>
    <row r="123" spans="2:16">
      <c r="B123" s="160" t="str">
        <f t="shared" si="19"/>
        <v/>
      </c>
      <c r="C123" s="470">
        <f>IF(D93="","-",+C122+1)</f>
        <v>2045</v>
      </c>
      <c r="D123" s="63">
        <f>IF(F122+SUM(E$99:E122)=D$92,F122,D$92-SUM(E$99:E122))</f>
        <v>0</v>
      </c>
      <c r="E123" s="69">
        <f t="shared" si="20"/>
        <v>0</v>
      </c>
      <c r="F123" s="68">
        <f t="shared" si="21"/>
        <v>0</v>
      </c>
      <c r="G123" s="68">
        <f t="shared" si="22"/>
        <v>0</v>
      </c>
      <c r="H123" s="130">
        <f t="shared" si="23"/>
        <v>0</v>
      </c>
      <c r="I123" s="139">
        <f t="shared" si="24"/>
        <v>0</v>
      </c>
      <c r="J123" s="67">
        <f t="shared" si="15"/>
        <v>0</v>
      </c>
      <c r="K123" s="476"/>
      <c r="L123" s="485"/>
      <c r="M123" s="476">
        <f t="shared" si="12"/>
        <v>0</v>
      </c>
      <c r="N123" s="485"/>
      <c r="O123" s="476">
        <f t="shared" si="13"/>
        <v>0</v>
      </c>
      <c r="P123" s="476">
        <f t="shared" si="14"/>
        <v>0</v>
      </c>
    </row>
    <row r="124" spans="2:16">
      <c r="B124" s="160" t="str">
        <f t="shared" si="19"/>
        <v/>
      </c>
      <c r="C124" s="470">
        <f>IF(D93="","-",+C123+1)</f>
        <v>2046</v>
      </c>
      <c r="D124" s="63">
        <f>IF(F123+SUM(E$99:E123)=D$92,F123,D$92-SUM(E$99:E123))</f>
        <v>0</v>
      </c>
      <c r="E124" s="69">
        <f t="shared" si="20"/>
        <v>0</v>
      </c>
      <c r="F124" s="68">
        <f t="shared" si="21"/>
        <v>0</v>
      </c>
      <c r="G124" s="68">
        <f t="shared" si="22"/>
        <v>0</v>
      </c>
      <c r="H124" s="130">
        <f t="shared" si="23"/>
        <v>0</v>
      </c>
      <c r="I124" s="139">
        <f t="shared" si="24"/>
        <v>0</v>
      </c>
      <c r="J124" s="67">
        <f t="shared" si="15"/>
        <v>0</v>
      </c>
      <c r="K124" s="476"/>
      <c r="L124" s="485"/>
      <c r="M124" s="476">
        <f t="shared" si="12"/>
        <v>0</v>
      </c>
      <c r="N124" s="485"/>
      <c r="O124" s="476">
        <f t="shared" si="13"/>
        <v>0</v>
      </c>
      <c r="P124" s="476">
        <f t="shared" si="14"/>
        <v>0</v>
      </c>
    </row>
    <row r="125" spans="2:16">
      <c r="B125" s="160" t="str">
        <f t="shared" si="19"/>
        <v/>
      </c>
      <c r="C125" s="470">
        <f>IF(D93="","-",+C124+1)</f>
        <v>2047</v>
      </c>
      <c r="D125" s="63">
        <f>IF(F124+SUM(E$99:E124)=D$92,F124,D$92-SUM(E$99:E124))</f>
        <v>0</v>
      </c>
      <c r="E125" s="69">
        <f t="shared" si="20"/>
        <v>0</v>
      </c>
      <c r="F125" s="68">
        <f t="shared" si="21"/>
        <v>0</v>
      </c>
      <c r="G125" s="68">
        <f t="shared" si="22"/>
        <v>0</v>
      </c>
      <c r="H125" s="130">
        <f t="shared" si="23"/>
        <v>0</v>
      </c>
      <c r="I125" s="139">
        <f t="shared" si="24"/>
        <v>0</v>
      </c>
      <c r="J125" s="67">
        <f t="shared" si="15"/>
        <v>0</v>
      </c>
      <c r="K125" s="476"/>
      <c r="L125" s="485"/>
      <c r="M125" s="476">
        <f t="shared" si="12"/>
        <v>0</v>
      </c>
      <c r="N125" s="485"/>
      <c r="O125" s="476">
        <f t="shared" si="13"/>
        <v>0</v>
      </c>
      <c r="P125" s="476">
        <f t="shared" si="14"/>
        <v>0</v>
      </c>
    </row>
    <row r="126" spans="2:16">
      <c r="B126" s="160" t="str">
        <f t="shared" si="19"/>
        <v/>
      </c>
      <c r="C126" s="470">
        <f>IF(D93="","-",+C125+1)</f>
        <v>2048</v>
      </c>
      <c r="D126" s="63">
        <f>IF(F125+SUM(E$99:E125)=D$92,F125,D$92-SUM(E$99:E125))</f>
        <v>0</v>
      </c>
      <c r="E126" s="69">
        <f t="shared" si="20"/>
        <v>0</v>
      </c>
      <c r="F126" s="68">
        <f t="shared" si="21"/>
        <v>0</v>
      </c>
      <c r="G126" s="68">
        <f t="shared" si="22"/>
        <v>0</v>
      </c>
      <c r="H126" s="130">
        <f t="shared" si="23"/>
        <v>0</v>
      </c>
      <c r="I126" s="139">
        <f t="shared" si="24"/>
        <v>0</v>
      </c>
      <c r="J126" s="67">
        <f t="shared" si="15"/>
        <v>0</v>
      </c>
      <c r="K126" s="476"/>
      <c r="L126" s="485"/>
      <c r="M126" s="476">
        <f t="shared" si="12"/>
        <v>0</v>
      </c>
      <c r="N126" s="485"/>
      <c r="O126" s="476">
        <f t="shared" si="13"/>
        <v>0</v>
      </c>
      <c r="P126" s="476">
        <f t="shared" si="14"/>
        <v>0</v>
      </c>
    </row>
    <row r="127" spans="2:16">
      <c r="B127" s="160" t="str">
        <f t="shared" si="19"/>
        <v/>
      </c>
      <c r="C127" s="470">
        <f>IF(D93="","-",+C126+1)</f>
        <v>2049</v>
      </c>
      <c r="D127" s="63">
        <f>IF(F126+SUM(E$99:E126)=D$92,F126,D$92-SUM(E$99:E126))</f>
        <v>0</v>
      </c>
      <c r="E127" s="69">
        <f t="shared" si="20"/>
        <v>0</v>
      </c>
      <c r="F127" s="68">
        <f t="shared" si="21"/>
        <v>0</v>
      </c>
      <c r="G127" s="68">
        <f t="shared" si="22"/>
        <v>0</v>
      </c>
      <c r="H127" s="130">
        <f t="shared" si="23"/>
        <v>0</v>
      </c>
      <c r="I127" s="139">
        <f t="shared" si="24"/>
        <v>0</v>
      </c>
      <c r="J127" s="67">
        <f t="shared" si="15"/>
        <v>0</v>
      </c>
      <c r="K127" s="476"/>
      <c r="L127" s="485"/>
      <c r="M127" s="476">
        <f t="shared" si="12"/>
        <v>0</v>
      </c>
      <c r="N127" s="485"/>
      <c r="O127" s="476">
        <f t="shared" si="13"/>
        <v>0</v>
      </c>
      <c r="P127" s="476">
        <f t="shared" si="14"/>
        <v>0</v>
      </c>
    </row>
    <row r="128" spans="2:16">
      <c r="B128" s="160" t="str">
        <f t="shared" si="19"/>
        <v/>
      </c>
      <c r="C128" s="470">
        <f>IF(D93="","-",+C127+1)</f>
        <v>2050</v>
      </c>
      <c r="D128" s="63">
        <f>IF(F127+SUM(E$99:E127)=D$92,F127,D$92-SUM(E$99:E127))</f>
        <v>0</v>
      </c>
      <c r="E128" s="69">
        <f t="shared" si="20"/>
        <v>0</v>
      </c>
      <c r="F128" s="68">
        <f t="shared" si="21"/>
        <v>0</v>
      </c>
      <c r="G128" s="68">
        <f t="shared" si="22"/>
        <v>0</v>
      </c>
      <c r="H128" s="130">
        <f t="shared" si="23"/>
        <v>0</v>
      </c>
      <c r="I128" s="139">
        <f t="shared" si="24"/>
        <v>0</v>
      </c>
      <c r="J128" s="67">
        <f t="shared" si="15"/>
        <v>0</v>
      </c>
      <c r="K128" s="476"/>
      <c r="L128" s="485"/>
      <c r="M128" s="476">
        <f t="shared" si="12"/>
        <v>0</v>
      </c>
      <c r="N128" s="485"/>
      <c r="O128" s="476">
        <f t="shared" si="13"/>
        <v>0</v>
      </c>
      <c r="P128" s="476">
        <f t="shared" si="14"/>
        <v>0</v>
      </c>
    </row>
    <row r="129" spans="2:16">
      <c r="B129" s="160" t="str">
        <f t="shared" si="19"/>
        <v/>
      </c>
      <c r="C129" s="470">
        <f>IF(D93="","-",+C128+1)</f>
        <v>2051</v>
      </c>
      <c r="D129" s="63">
        <f>IF(F128+SUM(E$99:E128)=D$92,F128,D$92-SUM(E$99:E128))</f>
        <v>0</v>
      </c>
      <c r="E129" s="69">
        <f t="shared" si="20"/>
        <v>0</v>
      </c>
      <c r="F129" s="68">
        <f t="shared" si="21"/>
        <v>0</v>
      </c>
      <c r="G129" s="68">
        <f t="shared" si="22"/>
        <v>0</v>
      </c>
      <c r="H129" s="130">
        <f t="shared" si="23"/>
        <v>0</v>
      </c>
      <c r="I129" s="139">
        <f t="shared" si="24"/>
        <v>0</v>
      </c>
      <c r="J129" s="67">
        <f t="shared" si="15"/>
        <v>0</v>
      </c>
      <c r="K129" s="476"/>
      <c r="L129" s="485"/>
      <c r="M129" s="476">
        <f t="shared" si="12"/>
        <v>0</v>
      </c>
      <c r="N129" s="485"/>
      <c r="O129" s="476">
        <f t="shared" si="13"/>
        <v>0</v>
      </c>
      <c r="P129" s="476">
        <f t="shared" si="14"/>
        <v>0</v>
      </c>
    </row>
    <row r="130" spans="2:16">
      <c r="B130" s="160" t="str">
        <f t="shared" si="19"/>
        <v/>
      </c>
      <c r="C130" s="470">
        <f>IF(D93="","-",+C129+1)</f>
        <v>2052</v>
      </c>
      <c r="D130" s="63">
        <f>IF(F129+SUM(E$99:E129)=D$92,F129,D$92-SUM(E$99:E129))</f>
        <v>0</v>
      </c>
      <c r="E130" s="69">
        <f t="shared" si="20"/>
        <v>0</v>
      </c>
      <c r="F130" s="68">
        <f t="shared" si="21"/>
        <v>0</v>
      </c>
      <c r="G130" s="68">
        <f t="shared" si="22"/>
        <v>0</v>
      </c>
      <c r="H130" s="130">
        <f t="shared" si="23"/>
        <v>0</v>
      </c>
      <c r="I130" s="139">
        <f t="shared" si="24"/>
        <v>0</v>
      </c>
      <c r="J130" s="67">
        <f t="shared" si="15"/>
        <v>0</v>
      </c>
      <c r="K130" s="476"/>
      <c r="L130" s="485"/>
      <c r="M130" s="476">
        <f t="shared" si="12"/>
        <v>0</v>
      </c>
      <c r="N130" s="485"/>
      <c r="O130" s="476">
        <f t="shared" si="13"/>
        <v>0</v>
      </c>
      <c r="P130" s="476">
        <f t="shared" si="14"/>
        <v>0</v>
      </c>
    </row>
    <row r="131" spans="2:16">
      <c r="B131" s="160" t="str">
        <f t="shared" si="19"/>
        <v/>
      </c>
      <c r="C131" s="470">
        <f>IF(D93="","-",+C130+1)</f>
        <v>2053</v>
      </c>
      <c r="D131" s="63">
        <f>IF(F130+SUM(E$99:E130)=D$92,F130,D$92-SUM(E$99:E130))</f>
        <v>0</v>
      </c>
      <c r="E131" s="69">
        <f t="shared" si="20"/>
        <v>0</v>
      </c>
      <c r="F131" s="68">
        <f t="shared" si="21"/>
        <v>0</v>
      </c>
      <c r="G131" s="68">
        <f t="shared" si="22"/>
        <v>0</v>
      </c>
      <c r="H131" s="130">
        <f t="shared" si="23"/>
        <v>0</v>
      </c>
      <c r="I131" s="139">
        <f t="shared" si="24"/>
        <v>0</v>
      </c>
      <c r="J131" s="67">
        <f t="shared" ref="J131:J154" si="25">+I541-H541</f>
        <v>0</v>
      </c>
      <c r="K131" s="476"/>
      <c r="L131" s="485"/>
      <c r="M131" s="476">
        <f t="shared" ref="M131:M154" si="26">IF(L541&lt;&gt;0,+H541-L541,0)</f>
        <v>0</v>
      </c>
      <c r="N131" s="485"/>
      <c r="O131" s="476">
        <f t="shared" ref="O131:O154" si="27">IF(N541&lt;&gt;0,+I541-N541,0)</f>
        <v>0</v>
      </c>
      <c r="P131" s="476">
        <f t="shared" ref="P131:P154" si="28">+O541-M541</f>
        <v>0</v>
      </c>
    </row>
    <row r="132" spans="2:16">
      <c r="B132" s="160" t="str">
        <f t="shared" si="19"/>
        <v/>
      </c>
      <c r="C132" s="470">
        <f>IF(D93="","-",+C131+1)</f>
        <v>2054</v>
      </c>
      <c r="D132" s="63">
        <f>IF(F131+SUM(E$99:E131)=D$92,F131,D$92-SUM(E$99:E131))</f>
        <v>0</v>
      </c>
      <c r="E132" s="69">
        <f t="shared" si="20"/>
        <v>0</v>
      </c>
      <c r="F132" s="68">
        <f t="shared" si="21"/>
        <v>0</v>
      </c>
      <c r="G132" s="68">
        <f t="shared" si="22"/>
        <v>0</v>
      </c>
      <c r="H132" s="130">
        <f t="shared" si="23"/>
        <v>0</v>
      </c>
      <c r="I132" s="139">
        <f t="shared" si="24"/>
        <v>0</v>
      </c>
      <c r="J132" s="67">
        <f t="shared" si="25"/>
        <v>0</v>
      </c>
      <c r="K132" s="476"/>
      <c r="L132" s="485"/>
      <c r="M132" s="476">
        <f t="shared" si="26"/>
        <v>0</v>
      </c>
      <c r="N132" s="485"/>
      <c r="O132" s="476">
        <f t="shared" si="27"/>
        <v>0</v>
      </c>
      <c r="P132" s="476">
        <f t="shared" si="28"/>
        <v>0</v>
      </c>
    </row>
    <row r="133" spans="2:16">
      <c r="B133" s="160" t="str">
        <f t="shared" si="19"/>
        <v/>
      </c>
      <c r="C133" s="470">
        <f>IF(D93="","-",+C132+1)</f>
        <v>2055</v>
      </c>
      <c r="D133" s="63">
        <f>IF(F132+SUM(E$99:E132)=D$92,F132,D$92-SUM(E$99:E132))</f>
        <v>0</v>
      </c>
      <c r="E133" s="69">
        <f t="shared" si="20"/>
        <v>0</v>
      </c>
      <c r="F133" s="68">
        <f t="shared" si="21"/>
        <v>0</v>
      </c>
      <c r="G133" s="68">
        <f t="shared" si="22"/>
        <v>0</v>
      </c>
      <c r="H133" s="130">
        <f t="shared" si="23"/>
        <v>0</v>
      </c>
      <c r="I133" s="139">
        <f t="shared" si="24"/>
        <v>0</v>
      </c>
      <c r="J133" s="67">
        <f t="shared" si="25"/>
        <v>0</v>
      </c>
      <c r="K133" s="476"/>
      <c r="L133" s="485"/>
      <c r="M133" s="476">
        <f t="shared" si="26"/>
        <v>0</v>
      </c>
      <c r="N133" s="485"/>
      <c r="O133" s="476">
        <f t="shared" si="27"/>
        <v>0</v>
      </c>
      <c r="P133" s="476">
        <f t="shared" si="28"/>
        <v>0</v>
      </c>
    </row>
    <row r="134" spans="2:16">
      <c r="B134" s="160" t="str">
        <f t="shared" si="19"/>
        <v/>
      </c>
      <c r="C134" s="470">
        <f>IF(D93="","-",+C133+1)</f>
        <v>2056</v>
      </c>
      <c r="D134" s="63">
        <f>IF(F133+SUM(E$99:E133)=D$92,F133,D$92-SUM(E$99:E133))</f>
        <v>0</v>
      </c>
      <c r="E134" s="69">
        <f t="shared" si="20"/>
        <v>0</v>
      </c>
      <c r="F134" s="68">
        <f t="shared" si="21"/>
        <v>0</v>
      </c>
      <c r="G134" s="68">
        <f t="shared" si="22"/>
        <v>0</v>
      </c>
      <c r="H134" s="130">
        <f t="shared" si="23"/>
        <v>0</v>
      </c>
      <c r="I134" s="139">
        <f t="shared" si="24"/>
        <v>0</v>
      </c>
      <c r="J134" s="67">
        <f t="shared" si="25"/>
        <v>0</v>
      </c>
      <c r="K134" s="476"/>
      <c r="L134" s="485"/>
      <c r="M134" s="476">
        <f t="shared" si="26"/>
        <v>0</v>
      </c>
      <c r="N134" s="485"/>
      <c r="O134" s="476">
        <f t="shared" si="27"/>
        <v>0</v>
      </c>
      <c r="P134" s="476">
        <f t="shared" si="28"/>
        <v>0</v>
      </c>
    </row>
    <row r="135" spans="2:16">
      <c r="B135" s="160" t="str">
        <f t="shared" si="19"/>
        <v/>
      </c>
      <c r="C135" s="470">
        <f>IF(D93="","-",+C134+1)</f>
        <v>2057</v>
      </c>
      <c r="D135" s="63">
        <f>IF(F134+SUM(E$99:E134)=D$92,F134,D$92-SUM(E$99:E134))</f>
        <v>0</v>
      </c>
      <c r="E135" s="69">
        <f t="shared" si="20"/>
        <v>0</v>
      </c>
      <c r="F135" s="68">
        <f t="shared" si="21"/>
        <v>0</v>
      </c>
      <c r="G135" s="68">
        <f t="shared" si="22"/>
        <v>0</v>
      </c>
      <c r="H135" s="130">
        <f t="shared" si="23"/>
        <v>0</v>
      </c>
      <c r="I135" s="139">
        <f t="shared" si="24"/>
        <v>0</v>
      </c>
      <c r="J135" s="67">
        <f t="shared" si="25"/>
        <v>0</v>
      </c>
      <c r="K135" s="476"/>
      <c r="L135" s="485"/>
      <c r="M135" s="476">
        <f t="shared" si="26"/>
        <v>0</v>
      </c>
      <c r="N135" s="485"/>
      <c r="O135" s="476">
        <f t="shared" si="27"/>
        <v>0</v>
      </c>
      <c r="P135" s="476">
        <f t="shared" si="28"/>
        <v>0</v>
      </c>
    </row>
    <row r="136" spans="2:16">
      <c r="B136" s="160" t="str">
        <f t="shared" si="19"/>
        <v/>
      </c>
      <c r="C136" s="470">
        <f>IF(D93="","-",+C135+1)</f>
        <v>2058</v>
      </c>
      <c r="D136" s="63">
        <f>IF(F135+SUM(E$99:E135)=D$92,F135,D$92-SUM(E$99:E135))</f>
        <v>0</v>
      </c>
      <c r="E136" s="69">
        <f t="shared" si="20"/>
        <v>0</v>
      </c>
      <c r="F136" s="68">
        <f t="shared" si="21"/>
        <v>0</v>
      </c>
      <c r="G136" s="68">
        <f t="shared" si="22"/>
        <v>0</v>
      </c>
      <c r="H136" s="130">
        <f t="shared" si="23"/>
        <v>0</v>
      </c>
      <c r="I136" s="139">
        <f t="shared" si="24"/>
        <v>0</v>
      </c>
      <c r="J136" s="67">
        <f t="shared" si="25"/>
        <v>0</v>
      </c>
      <c r="K136" s="476"/>
      <c r="L136" s="485"/>
      <c r="M136" s="476">
        <f t="shared" si="26"/>
        <v>0</v>
      </c>
      <c r="N136" s="485"/>
      <c r="O136" s="476">
        <f t="shared" si="27"/>
        <v>0</v>
      </c>
      <c r="P136" s="476">
        <f t="shared" si="28"/>
        <v>0</v>
      </c>
    </row>
    <row r="137" spans="2:16">
      <c r="B137" s="160" t="str">
        <f t="shared" si="19"/>
        <v/>
      </c>
      <c r="C137" s="470">
        <f>IF(D93="","-",+C136+1)</f>
        <v>2059</v>
      </c>
      <c r="D137" s="63">
        <f>IF(F136+SUM(E$99:E136)=D$92,F136,D$92-SUM(E$99:E136))</f>
        <v>0</v>
      </c>
      <c r="E137" s="69">
        <f t="shared" si="20"/>
        <v>0</v>
      </c>
      <c r="F137" s="68">
        <f t="shared" si="21"/>
        <v>0</v>
      </c>
      <c r="G137" s="68">
        <f t="shared" si="22"/>
        <v>0</v>
      </c>
      <c r="H137" s="130">
        <f t="shared" si="23"/>
        <v>0</v>
      </c>
      <c r="I137" s="139">
        <f t="shared" si="24"/>
        <v>0</v>
      </c>
      <c r="J137" s="67">
        <f t="shared" si="25"/>
        <v>0</v>
      </c>
      <c r="K137" s="476"/>
      <c r="L137" s="485"/>
      <c r="M137" s="476">
        <f t="shared" si="26"/>
        <v>0</v>
      </c>
      <c r="N137" s="485"/>
      <c r="O137" s="476">
        <f t="shared" si="27"/>
        <v>0</v>
      </c>
      <c r="P137" s="476">
        <f t="shared" si="28"/>
        <v>0</v>
      </c>
    </row>
    <row r="138" spans="2:16">
      <c r="B138" s="160" t="str">
        <f t="shared" si="19"/>
        <v/>
      </c>
      <c r="C138" s="470">
        <f>IF(D93="","-",+C137+1)</f>
        <v>2060</v>
      </c>
      <c r="D138" s="63">
        <f>IF(F137+SUM(E$99:E137)=D$92,F137,D$92-SUM(E$99:E137))</f>
        <v>0</v>
      </c>
      <c r="E138" s="69">
        <f t="shared" si="20"/>
        <v>0</v>
      </c>
      <c r="F138" s="68">
        <f t="shared" si="21"/>
        <v>0</v>
      </c>
      <c r="G138" s="68">
        <f t="shared" si="22"/>
        <v>0</v>
      </c>
      <c r="H138" s="130">
        <f t="shared" si="23"/>
        <v>0</v>
      </c>
      <c r="I138" s="139">
        <f t="shared" si="24"/>
        <v>0</v>
      </c>
      <c r="J138" s="67">
        <f t="shared" si="25"/>
        <v>0</v>
      </c>
      <c r="K138" s="476"/>
      <c r="L138" s="485"/>
      <c r="M138" s="476">
        <f t="shared" si="26"/>
        <v>0</v>
      </c>
      <c r="N138" s="485"/>
      <c r="O138" s="476">
        <f t="shared" si="27"/>
        <v>0</v>
      </c>
      <c r="P138" s="476">
        <f t="shared" si="28"/>
        <v>0</v>
      </c>
    </row>
    <row r="139" spans="2:16">
      <c r="B139" s="160" t="str">
        <f t="shared" si="19"/>
        <v/>
      </c>
      <c r="C139" s="470">
        <f>IF(D93="","-",+C138+1)</f>
        <v>2061</v>
      </c>
      <c r="D139" s="63">
        <f>IF(F138+SUM(E$99:E138)=D$92,F138,D$92-SUM(E$99:E138))</f>
        <v>0</v>
      </c>
      <c r="E139" s="69">
        <f t="shared" si="20"/>
        <v>0</v>
      </c>
      <c r="F139" s="68">
        <f t="shared" si="21"/>
        <v>0</v>
      </c>
      <c r="G139" s="68">
        <f t="shared" si="22"/>
        <v>0</v>
      </c>
      <c r="H139" s="130">
        <f t="shared" si="23"/>
        <v>0</v>
      </c>
      <c r="I139" s="139">
        <f t="shared" si="24"/>
        <v>0</v>
      </c>
      <c r="J139" s="67">
        <f t="shared" si="25"/>
        <v>0</v>
      </c>
      <c r="K139" s="476"/>
      <c r="L139" s="485"/>
      <c r="M139" s="476">
        <f t="shared" si="26"/>
        <v>0</v>
      </c>
      <c r="N139" s="485"/>
      <c r="O139" s="476">
        <f t="shared" si="27"/>
        <v>0</v>
      </c>
      <c r="P139" s="476">
        <f t="shared" si="28"/>
        <v>0</v>
      </c>
    </row>
    <row r="140" spans="2:16">
      <c r="B140" s="160" t="str">
        <f t="shared" si="19"/>
        <v/>
      </c>
      <c r="C140" s="470">
        <f>IF(D93="","-",+C139+1)</f>
        <v>2062</v>
      </c>
      <c r="D140" s="63">
        <f>IF(F139+SUM(E$99:E139)=D$92,F139,D$92-SUM(E$99:E139))</f>
        <v>0</v>
      </c>
      <c r="E140" s="69">
        <f t="shared" si="20"/>
        <v>0</v>
      </c>
      <c r="F140" s="68">
        <f t="shared" si="21"/>
        <v>0</v>
      </c>
      <c r="G140" s="68">
        <f t="shared" si="22"/>
        <v>0</v>
      </c>
      <c r="H140" s="130">
        <f t="shared" si="23"/>
        <v>0</v>
      </c>
      <c r="I140" s="139">
        <f t="shared" si="24"/>
        <v>0</v>
      </c>
      <c r="J140" s="67">
        <f t="shared" si="25"/>
        <v>0</v>
      </c>
      <c r="K140" s="476"/>
      <c r="L140" s="485"/>
      <c r="M140" s="476">
        <f t="shared" si="26"/>
        <v>0</v>
      </c>
      <c r="N140" s="485"/>
      <c r="O140" s="476">
        <f t="shared" si="27"/>
        <v>0</v>
      </c>
      <c r="P140" s="476">
        <f t="shared" si="28"/>
        <v>0</v>
      </c>
    </row>
    <row r="141" spans="2:16">
      <c r="B141" s="160" t="str">
        <f t="shared" si="19"/>
        <v/>
      </c>
      <c r="C141" s="470">
        <f>IF(D93="","-",+C140+1)</f>
        <v>2063</v>
      </c>
      <c r="D141" s="63">
        <f>IF(F140+SUM(E$99:E140)=D$92,F140,D$92-SUM(E$99:E140))</f>
        <v>0</v>
      </c>
      <c r="E141" s="69">
        <f t="shared" si="20"/>
        <v>0</v>
      </c>
      <c r="F141" s="68">
        <f t="shared" si="21"/>
        <v>0</v>
      </c>
      <c r="G141" s="68">
        <f t="shared" si="22"/>
        <v>0</v>
      </c>
      <c r="H141" s="130">
        <f t="shared" si="23"/>
        <v>0</v>
      </c>
      <c r="I141" s="139">
        <f t="shared" si="24"/>
        <v>0</v>
      </c>
      <c r="J141" s="67">
        <f t="shared" si="25"/>
        <v>0</v>
      </c>
      <c r="K141" s="476"/>
      <c r="L141" s="485"/>
      <c r="M141" s="476">
        <f t="shared" si="26"/>
        <v>0</v>
      </c>
      <c r="N141" s="485"/>
      <c r="O141" s="476">
        <f t="shared" si="27"/>
        <v>0</v>
      </c>
      <c r="P141" s="476">
        <f t="shared" si="28"/>
        <v>0</v>
      </c>
    </row>
    <row r="142" spans="2:16">
      <c r="B142" s="160" t="str">
        <f t="shared" si="19"/>
        <v/>
      </c>
      <c r="C142" s="470">
        <f>IF(D93="","-",+C141+1)</f>
        <v>2064</v>
      </c>
      <c r="D142" s="63">
        <f>IF(F141+SUM(E$99:E141)=D$92,F141,D$92-SUM(E$99:E141))</f>
        <v>0</v>
      </c>
      <c r="E142" s="69">
        <f t="shared" si="20"/>
        <v>0</v>
      </c>
      <c r="F142" s="68">
        <f t="shared" si="21"/>
        <v>0</v>
      </c>
      <c r="G142" s="68">
        <f t="shared" si="22"/>
        <v>0</v>
      </c>
      <c r="H142" s="130">
        <f t="shared" si="23"/>
        <v>0</v>
      </c>
      <c r="I142" s="139">
        <f t="shared" si="24"/>
        <v>0</v>
      </c>
      <c r="J142" s="67">
        <f t="shared" si="25"/>
        <v>0</v>
      </c>
      <c r="K142" s="476"/>
      <c r="L142" s="485"/>
      <c r="M142" s="476">
        <f t="shared" si="26"/>
        <v>0</v>
      </c>
      <c r="N142" s="485"/>
      <c r="O142" s="476">
        <f t="shared" si="27"/>
        <v>0</v>
      </c>
      <c r="P142" s="476">
        <f t="shared" si="28"/>
        <v>0</v>
      </c>
    </row>
    <row r="143" spans="2:16">
      <c r="B143" s="160" t="str">
        <f t="shared" si="19"/>
        <v/>
      </c>
      <c r="C143" s="470">
        <f>IF(D93="","-",+C142+1)</f>
        <v>2065</v>
      </c>
      <c r="D143" s="63">
        <f>IF(F142+SUM(E$99:E142)=D$92,F142,D$92-SUM(E$99:E142))</f>
        <v>0</v>
      </c>
      <c r="E143" s="69">
        <f t="shared" si="20"/>
        <v>0</v>
      </c>
      <c r="F143" s="68">
        <f t="shared" si="21"/>
        <v>0</v>
      </c>
      <c r="G143" s="68">
        <f t="shared" si="22"/>
        <v>0</v>
      </c>
      <c r="H143" s="130">
        <f t="shared" si="23"/>
        <v>0</v>
      </c>
      <c r="I143" s="139">
        <f t="shared" si="24"/>
        <v>0</v>
      </c>
      <c r="J143" s="67">
        <f t="shared" si="25"/>
        <v>0</v>
      </c>
      <c r="K143" s="476"/>
      <c r="L143" s="485"/>
      <c r="M143" s="476">
        <f t="shared" si="26"/>
        <v>0</v>
      </c>
      <c r="N143" s="485"/>
      <c r="O143" s="476">
        <f t="shared" si="27"/>
        <v>0</v>
      </c>
      <c r="P143" s="476">
        <f t="shared" si="28"/>
        <v>0</v>
      </c>
    </row>
    <row r="144" spans="2:16">
      <c r="B144" s="160" t="str">
        <f t="shared" si="19"/>
        <v/>
      </c>
      <c r="C144" s="470">
        <f>IF(D93="","-",+C143+1)</f>
        <v>2066</v>
      </c>
      <c r="D144" s="63">
        <f>IF(F143+SUM(E$99:E143)=D$92,F143,D$92-SUM(E$99:E143))</f>
        <v>0</v>
      </c>
      <c r="E144" s="69">
        <f t="shared" si="20"/>
        <v>0</v>
      </c>
      <c r="F144" s="68">
        <f t="shared" si="21"/>
        <v>0</v>
      </c>
      <c r="G144" s="68">
        <f t="shared" si="22"/>
        <v>0</v>
      </c>
      <c r="H144" s="130">
        <f t="shared" si="23"/>
        <v>0</v>
      </c>
      <c r="I144" s="139">
        <f t="shared" si="24"/>
        <v>0</v>
      </c>
      <c r="J144" s="67">
        <f t="shared" si="25"/>
        <v>0</v>
      </c>
      <c r="K144" s="476"/>
      <c r="L144" s="485"/>
      <c r="M144" s="476">
        <f t="shared" si="26"/>
        <v>0</v>
      </c>
      <c r="N144" s="485"/>
      <c r="O144" s="476">
        <f t="shared" si="27"/>
        <v>0</v>
      </c>
      <c r="P144" s="476">
        <f t="shared" si="28"/>
        <v>0</v>
      </c>
    </row>
    <row r="145" spans="2:16">
      <c r="B145" s="160" t="str">
        <f t="shared" si="19"/>
        <v/>
      </c>
      <c r="C145" s="470">
        <f>IF(D93="","-",+C144+1)</f>
        <v>2067</v>
      </c>
      <c r="D145" s="63">
        <f>IF(F144+SUM(E$99:E144)=D$92,F144,D$92-SUM(E$99:E144))</f>
        <v>0</v>
      </c>
      <c r="E145" s="69">
        <f t="shared" si="20"/>
        <v>0</v>
      </c>
      <c r="F145" s="68">
        <f t="shared" si="21"/>
        <v>0</v>
      </c>
      <c r="G145" s="68">
        <f t="shared" si="22"/>
        <v>0</v>
      </c>
      <c r="H145" s="130">
        <f t="shared" si="23"/>
        <v>0</v>
      </c>
      <c r="I145" s="139">
        <f t="shared" si="24"/>
        <v>0</v>
      </c>
      <c r="J145" s="67">
        <f t="shared" si="25"/>
        <v>0</v>
      </c>
      <c r="K145" s="476"/>
      <c r="L145" s="485"/>
      <c r="M145" s="476">
        <f t="shared" si="26"/>
        <v>0</v>
      </c>
      <c r="N145" s="485"/>
      <c r="O145" s="476">
        <f t="shared" si="27"/>
        <v>0</v>
      </c>
      <c r="P145" s="476">
        <f t="shared" si="28"/>
        <v>0</v>
      </c>
    </row>
    <row r="146" spans="2:16">
      <c r="B146" s="160" t="str">
        <f t="shared" si="19"/>
        <v/>
      </c>
      <c r="C146" s="470">
        <f>IF(D93="","-",+C145+1)</f>
        <v>2068</v>
      </c>
      <c r="D146" s="63">
        <f>IF(F145+SUM(E$99:E145)=D$92,F145,D$92-SUM(E$99:E145))</f>
        <v>0</v>
      </c>
      <c r="E146" s="69">
        <f t="shared" si="20"/>
        <v>0</v>
      </c>
      <c r="F146" s="68">
        <f t="shared" si="21"/>
        <v>0</v>
      </c>
      <c r="G146" s="68">
        <f t="shared" si="22"/>
        <v>0</v>
      </c>
      <c r="H146" s="130">
        <f t="shared" si="23"/>
        <v>0</v>
      </c>
      <c r="I146" s="139">
        <f t="shared" si="24"/>
        <v>0</v>
      </c>
      <c r="J146" s="67">
        <f t="shared" si="25"/>
        <v>0</v>
      </c>
      <c r="K146" s="476"/>
      <c r="L146" s="485"/>
      <c r="M146" s="476">
        <f t="shared" si="26"/>
        <v>0</v>
      </c>
      <c r="N146" s="485"/>
      <c r="O146" s="476">
        <f t="shared" si="27"/>
        <v>0</v>
      </c>
      <c r="P146" s="476">
        <f t="shared" si="28"/>
        <v>0</v>
      </c>
    </row>
    <row r="147" spans="2:16">
      <c r="B147" s="160" t="str">
        <f t="shared" si="19"/>
        <v/>
      </c>
      <c r="C147" s="470">
        <f>IF(D93="","-",+C146+1)</f>
        <v>2069</v>
      </c>
      <c r="D147" s="63">
        <f>IF(F146+SUM(E$99:E146)=D$92,F146,D$92-SUM(E$99:E146))</f>
        <v>0</v>
      </c>
      <c r="E147" s="69">
        <f t="shared" si="20"/>
        <v>0</v>
      </c>
      <c r="F147" s="68">
        <f t="shared" si="21"/>
        <v>0</v>
      </c>
      <c r="G147" s="68">
        <f t="shared" si="22"/>
        <v>0</v>
      </c>
      <c r="H147" s="130">
        <f t="shared" si="23"/>
        <v>0</v>
      </c>
      <c r="I147" s="139">
        <f t="shared" si="24"/>
        <v>0</v>
      </c>
      <c r="J147" s="67">
        <f t="shared" si="25"/>
        <v>0</v>
      </c>
      <c r="K147" s="476"/>
      <c r="L147" s="485"/>
      <c r="M147" s="476">
        <f t="shared" si="26"/>
        <v>0</v>
      </c>
      <c r="N147" s="485"/>
      <c r="O147" s="476">
        <f t="shared" si="27"/>
        <v>0</v>
      </c>
      <c r="P147" s="476">
        <f t="shared" si="28"/>
        <v>0</v>
      </c>
    </row>
    <row r="148" spans="2:16">
      <c r="B148" s="160" t="str">
        <f t="shared" si="19"/>
        <v/>
      </c>
      <c r="C148" s="470">
        <f>IF(D93="","-",+C147+1)</f>
        <v>2070</v>
      </c>
      <c r="D148" s="63">
        <f>IF(F147+SUM(E$99:E147)=D$92,F147,D$92-SUM(E$99:E147))</f>
        <v>0</v>
      </c>
      <c r="E148" s="69">
        <f t="shared" si="20"/>
        <v>0</v>
      </c>
      <c r="F148" s="68">
        <f t="shared" si="21"/>
        <v>0</v>
      </c>
      <c r="G148" s="68">
        <f t="shared" si="22"/>
        <v>0</v>
      </c>
      <c r="H148" s="130">
        <f t="shared" si="23"/>
        <v>0</v>
      </c>
      <c r="I148" s="139">
        <f t="shared" si="24"/>
        <v>0</v>
      </c>
      <c r="J148" s="67">
        <f t="shared" si="25"/>
        <v>0</v>
      </c>
      <c r="K148" s="476"/>
      <c r="L148" s="485"/>
      <c r="M148" s="476">
        <f t="shared" si="26"/>
        <v>0</v>
      </c>
      <c r="N148" s="485"/>
      <c r="O148" s="476">
        <f t="shared" si="27"/>
        <v>0</v>
      </c>
      <c r="P148" s="476">
        <f t="shared" si="28"/>
        <v>0</v>
      </c>
    </row>
    <row r="149" spans="2:16">
      <c r="B149" s="160" t="str">
        <f t="shared" si="19"/>
        <v/>
      </c>
      <c r="C149" s="470">
        <f>IF(D93="","-",+C148+1)</f>
        <v>2071</v>
      </c>
      <c r="D149" s="63">
        <f>IF(F148+SUM(E$99:E148)=D$92,F148,D$92-SUM(E$99:E148))</f>
        <v>0</v>
      </c>
      <c r="E149" s="69">
        <f t="shared" si="20"/>
        <v>0</v>
      </c>
      <c r="F149" s="68">
        <f t="shared" si="21"/>
        <v>0</v>
      </c>
      <c r="G149" s="68">
        <f t="shared" si="22"/>
        <v>0</v>
      </c>
      <c r="H149" s="130">
        <f t="shared" si="23"/>
        <v>0</v>
      </c>
      <c r="I149" s="139">
        <f t="shared" si="24"/>
        <v>0</v>
      </c>
      <c r="J149" s="67">
        <f t="shared" si="25"/>
        <v>0</v>
      </c>
      <c r="K149" s="476"/>
      <c r="L149" s="485"/>
      <c r="M149" s="476">
        <f t="shared" si="26"/>
        <v>0</v>
      </c>
      <c r="N149" s="485"/>
      <c r="O149" s="476">
        <f t="shared" si="27"/>
        <v>0</v>
      </c>
      <c r="P149" s="476">
        <f t="shared" si="28"/>
        <v>0</v>
      </c>
    </row>
    <row r="150" spans="2:16">
      <c r="B150" s="160" t="str">
        <f t="shared" si="19"/>
        <v/>
      </c>
      <c r="C150" s="470">
        <f>IF(D93="","-",+C149+1)</f>
        <v>2072</v>
      </c>
      <c r="D150" s="63">
        <f>IF(F149+SUM(E$99:E149)=D$92,F149,D$92-SUM(E$99:E149))</f>
        <v>0</v>
      </c>
      <c r="E150" s="69">
        <f t="shared" si="20"/>
        <v>0</v>
      </c>
      <c r="F150" s="68">
        <f t="shared" si="21"/>
        <v>0</v>
      </c>
      <c r="G150" s="68">
        <f t="shared" si="22"/>
        <v>0</v>
      </c>
      <c r="H150" s="130">
        <f t="shared" si="23"/>
        <v>0</v>
      </c>
      <c r="I150" s="139">
        <f t="shared" si="24"/>
        <v>0</v>
      </c>
      <c r="J150" s="67">
        <f t="shared" si="25"/>
        <v>0</v>
      </c>
      <c r="K150" s="476"/>
      <c r="L150" s="485"/>
      <c r="M150" s="476">
        <f t="shared" si="26"/>
        <v>0</v>
      </c>
      <c r="N150" s="485"/>
      <c r="O150" s="476">
        <f t="shared" si="27"/>
        <v>0</v>
      </c>
      <c r="P150" s="476">
        <f t="shared" si="28"/>
        <v>0</v>
      </c>
    </row>
    <row r="151" spans="2:16">
      <c r="B151" s="160" t="str">
        <f t="shared" si="19"/>
        <v/>
      </c>
      <c r="C151" s="470">
        <f>IF(D93="","-",+C150+1)</f>
        <v>2073</v>
      </c>
      <c r="D151" s="63">
        <f>IF(F150+SUM(E$99:E150)=D$92,F150,D$92-SUM(E$99:E150))</f>
        <v>0</v>
      </c>
      <c r="E151" s="69">
        <f t="shared" si="20"/>
        <v>0</v>
      </c>
      <c r="F151" s="68">
        <f t="shared" si="21"/>
        <v>0</v>
      </c>
      <c r="G151" s="68">
        <f t="shared" si="22"/>
        <v>0</v>
      </c>
      <c r="H151" s="130">
        <f t="shared" si="23"/>
        <v>0</v>
      </c>
      <c r="I151" s="139">
        <f t="shared" si="24"/>
        <v>0</v>
      </c>
      <c r="J151" s="67">
        <f t="shared" si="25"/>
        <v>0</v>
      </c>
      <c r="K151" s="476"/>
      <c r="L151" s="485"/>
      <c r="M151" s="476">
        <f t="shared" si="26"/>
        <v>0</v>
      </c>
      <c r="N151" s="485"/>
      <c r="O151" s="476">
        <f t="shared" si="27"/>
        <v>0</v>
      </c>
      <c r="P151" s="476">
        <f t="shared" si="28"/>
        <v>0</v>
      </c>
    </row>
    <row r="152" spans="2:16">
      <c r="B152" s="160" t="str">
        <f t="shared" si="19"/>
        <v/>
      </c>
      <c r="C152" s="470">
        <f>IF(D93="","-",+C151+1)</f>
        <v>2074</v>
      </c>
      <c r="D152" s="63">
        <f>IF(F151+SUM(E$99:E151)=D$92,F151,D$92-SUM(E$99:E151))</f>
        <v>0</v>
      </c>
      <c r="E152" s="69">
        <f t="shared" si="20"/>
        <v>0</v>
      </c>
      <c r="F152" s="68">
        <f t="shared" si="21"/>
        <v>0</v>
      </c>
      <c r="G152" s="68">
        <f t="shared" si="22"/>
        <v>0</v>
      </c>
      <c r="H152" s="130">
        <f t="shared" si="23"/>
        <v>0</v>
      </c>
      <c r="I152" s="139">
        <f t="shared" si="24"/>
        <v>0</v>
      </c>
      <c r="J152" s="67">
        <f t="shared" si="25"/>
        <v>0</v>
      </c>
      <c r="K152" s="476"/>
      <c r="L152" s="485"/>
      <c r="M152" s="476">
        <f t="shared" si="26"/>
        <v>0</v>
      </c>
      <c r="N152" s="485"/>
      <c r="O152" s="476">
        <f t="shared" si="27"/>
        <v>0</v>
      </c>
      <c r="P152" s="476">
        <f t="shared" si="28"/>
        <v>0</v>
      </c>
    </row>
    <row r="153" spans="2:16">
      <c r="B153" s="160" t="str">
        <f t="shared" si="19"/>
        <v/>
      </c>
      <c r="C153" s="470">
        <f>IF(D93="","-",+C152+1)</f>
        <v>2075</v>
      </c>
      <c r="D153" s="63">
        <f>IF(F152+SUM(E$99:E152)=D$92,F152,D$92-SUM(E$99:E152))</f>
        <v>0</v>
      </c>
      <c r="E153" s="69">
        <f t="shared" si="20"/>
        <v>0</v>
      </c>
      <c r="F153" s="68">
        <f t="shared" si="21"/>
        <v>0</v>
      </c>
      <c r="G153" s="68">
        <f t="shared" si="22"/>
        <v>0</v>
      </c>
      <c r="H153" s="130">
        <f t="shared" si="23"/>
        <v>0</v>
      </c>
      <c r="I153" s="139">
        <f t="shared" si="24"/>
        <v>0</v>
      </c>
      <c r="J153" s="67">
        <f t="shared" si="25"/>
        <v>0</v>
      </c>
      <c r="K153" s="476"/>
      <c r="L153" s="485"/>
      <c r="M153" s="476">
        <f t="shared" si="26"/>
        <v>0</v>
      </c>
      <c r="N153" s="485"/>
      <c r="O153" s="476">
        <f t="shared" si="27"/>
        <v>0</v>
      </c>
      <c r="P153" s="476">
        <f t="shared" si="28"/>
        <v>0</v>
      </c>
    </row>
    <row r="154" spans="2:16" ht="13.5" thickBot="1">
      <c r="B154" s="160" t="str">
        <f t="shared" si="19"/>
        <v/>
      </c>
      <c r="C154" s="487">
        <f>IF(D93="","-",+C153+1)</f>
        <v>2076</v>
      </c>
      <c r="D154" s="98">
        <f>IF(F153+SUM(E$99:E153)=D$92,F153,D$92-SUM(E$99:E153))</f>
        <v>0</v>
      </c>
      <c r="E154" s="74">
        <f t="shared" si="20"/>
        <v>0</v>
      </c>
      <c r="F154" s="73">
        <f t="shared" si="21"/>
        <v>0</v>
      </c>
      <c r="G154" s="73">
        <f t="shared" si="22"/>
        <v>0</v>
      </c>
      <c r="H154" s="140">
        <f t="shared" si="23"/>
        <v>0</v>
      </c>
      <c r="I154" s="141">
        <f t="shared" si="24"/>
        <v>0</v>
      </c>
      <c r="J154" s="76">
        <f t="shared" si="25"/>
        <v>0</v>
      </c>
      <c r="K154" s="476"/>
      <c r="L154" s="492"/>
      <c r="M154" s="493">
        <f t="shared" si="26"/>
        <v>0</v>
      </c>
      <c r="N154" s="492"/>
      <c r="O154" s="493">
        <f t="shared" si="27"/>
        <v>0</v>
      </c>
      <c r="P154" s="493">
        <f t="shared" si="28"/>
        <v>0</v>
      </c>
    </row>
    <row r="155" spans="2:16">
      <c r="C155" s="345" t="s">
        <v>77</v>
      </c>
      <c r="D155" s="346"/>
      <c r="E155" s="346">
        <f>SUM(E99:E154)</f>
        <v>0</v>
      </c>
      <c r="F155" s="346"/>
      <c r="G155" s="346"/>
      <c r="H155" s="346">
        <f>SUM(H99:H154)</f>
        <v>81104.253698891524</v>
      </c>
      <c r="I155" s="346">
        <f>SUM(I99:I154)</f>
        <v>81104.253698891524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148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9" priority="1" stopIfTrue="1" operator="equal">
      <formula>$I$10</formula>
    </cfRule>
  </conditionalFormatting>
  <conditionalFormatting sqref="C99:C154">
    <cfRule type="cellIs" dxfId="8" priority="2" stopIfTrue="1" operator="equal">
      <formula>$J$92</formula>
    </cfRule>
  </conditionalFormatting>
  <pageMargins left="0.5" right="0.25" top="1" bottom="0.5" header="0.25" footer="0.5"/>
  <pageSetup scale="47" orientation="landscape" r:id="rId1"/>
  <headerFooter>
    <oddHeader xml:space="preserve">&amp;R&amp;18AEP - SPP Formula Rate
PSO TCOS - Worksheets F and G
Section IV -- (BPU Project Tables)
Page: &amp;P of &amp;N
</oddHeader>
    <oddFooter>&amp;L&amp;A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162"/>
  <sheetViews>
    <sheetView topLeftCell="A78" zoomScale="80" zoomScaleNormal="80" workbookViewId="0">
      <selection activeCell="D99" sqref="D99:I99"/>
    </sheetView>
  </sheetViews>
  <sheetFormatPr defaultColWidth="8.7109375" defaultRowHeight="12.75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"&amp;RIGHT(MID(CELL("filename",$A$1),FIND("]",CELL("filename",$A$1))+1,256),2)&amp;" of "&amp;COUNT('P.001:P.xyz - blank'!$P$3)-1</f>
        <v>PSO Project 31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9626.268765265102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9626.268765265102</v>
      </c>
      <c r="O6" s="231"/>
      <c r="P6" s="231"/>
    </row>
    <row r="7" spans="1:16" ht="13.5" thickBot="1">
      <c r="C7" s="429" t="s">
        <v>46</v>
      </c>
      <c r="D7" s="620" t="s">
        <v>368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4"/>
      <c r="E8" s="436"/>
      <c r="F8" s="436"/>
      <c r="G8" s="436"/>
      <c r="H8" s="436"/>
      <c r="I8" s="436"/>
      <c r="J8" s="625"/>
      <c r="K8" s="436"/>
      <c r="L8" s="436"/>
      <c r="M8" s="436"/>
      <c r="N8" s="436"/>
      <c r="O8" s="625"/>
      <c r="P8" s="310"/>
    </row>
    <row r="9" spans="1:16" ht="13.5" thickBot="1">
      <c r="C9" s="438" t="s">
        <v>48</v>
      </c>
      <c r="D9" s="439" t="s">
        <v>369</v>
      </c>
      <c r="E9" s="621" t="s">
        <v>370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70967.7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2022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6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1867.5710526315788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 ht="13.5" thickBot="1">
      <c r="B17" s="160"/>
      <c r="C17" s="470">
        <f>IF(D11= "","-",D11)</f>
        <v>2022</v>
      </c>
      <c r="D17" s="582">
        <v>0</v>
      </c>
      <c r="E17" s="583">
        <v>0</v>
      </c>
      <c r="F17" s="582">
        <v>56102</v>
      </c>
      <c r="G17" s="583">
        <v>3024.2132561392209</v>
      </c>
      <c r="H17" s="585">
        <v>3024.2132561392209</v>
      </c>
      <c r="I17" s="65">
        <f>H17-G17</f>
        <v>0</v>
      </c>
      <c r="J17" s="473"/>
      <c r="K17" s="552">
        <f>+G17</f>
        <v>3024.2132561392209</v>
      </c>
      <c r="L17" s="475">
        <f t="shared" ref="L17:L72" si="0">IF(K17&lt;&gt;0,+G17-K17,0)</f>
        <v>0</v>
      </c>
      <c r="M17" s="552">
        <f>+H17</f>
        <v>3024.2132561392209</v>
      </c>
      <c r="N17" s="475">
        <f t="shared" ref="N17:N72" si="1">IF(M17&lt;&gt;0,+H17-M17,0)</f>
        <v>0</v>
      </c>
      <c r="O17" s="476">
        <f t="shared" ref="O17:O72" si="2">+N17-L17</f>
        <v>0</v>
      </c>
      <c r="P17" s="241"/>
    </row>
    <row r="18" spans="2:16">
      <c r="B18" s="160" t="str">
        <f>IF(D18=F17,"","IU")</f>
        <v>IU</v>
      </c>
      <c r="C18" s="470">
        <f>IF(D11="","-",+C17+1)</f>
        <v>2023</v>
      </c>
      <c r="D18" s="582">
        <v>70968.24417723043</v>
      </c>
      <c r="E18" s="583">
        <v>1819.6985686469341</v>
      </c>
      <c r="F18" s="582">
        <v>69148.545608583503</v>
      </c>
      <c r="G18" s="583">
        <v>10181.795067763751</v>
      </c>
      <c r="H18" s="585">
        <v>10181.795067763751</v>
      </c>
      <c r="I18" s="65">
        <f>H18-G18</f>
        <v>0</v>
      </c>
      <c r="J18" s="473"/>
      <c r="K18" s="552">
        <f>+G18</f>
        <v>10181.795067763751</v>
      </c>
      <c r="L18" s="475">
        <f t="shared" ref="L18" si="3">IF(K18&lt;&gt;0,+G18-K18,0)</f>
        <v>0</v>
      </c>
      <c r="M18" s="552">
        <f>+H18</f>
        <v>10181.795067763751</v>
      </c>
      <c r="N18" s="475">
        <f t="shared" ref="N18" si="4">IF(M18&lt;&gt;0,+H18-M18,0)</f>
        <v>0</v>
      </c>
      <c r="O18" s="476">
        <f t="shared" ref="O18" si="5">+N18-L18</f>
        <v>0</v>
      </c>
      <c r="P18" s="241"/>
    </row>
    <row r="19" spans="2:16">
      <c r="B19" s="160" t="str">
        <f>IF(D19=F18,"","IU")</f>
        <v>IU</v>
      </c>
      <c r="C19" s="631">
        <f>IF(D11="","-",+C18+1)</f>
        <v>2024</v>
      </c>
      <c r="D19" s="71">
        <f>IF(F18+SUM(E$17:E18)=D$10,F18,D$10-SUM(E$17:E18))</f>
        <v>69148.00143135307</v>
      </c>
      <c r="E19" s="69">
        <f t="shared" ref="E19:E20" si="6">IF(+I$14&lt;F18,I$14,D19)</f>
        <v>1867.5710526315788</v>
      </c>
      <c r="F19" s="68">
        <f t="shared" ref="F19:F20" si="7">+D19-E19</f>
        <v>67280.430378721489</v>
      </c>
      <c r="G19" s="70">
        <f t="shared" ref="G19:G20" si="8">(D19+F19)/2*I$12+E19</f>
        <v>9626.268765265102</v>
      </c>
      <c r="H19" s="52">
        <f t="shared" ref="H19:H20" si="9">+(D19+F19)/2*I$13+E19</f>
        <v>9626.268765265102</v>
      </c>
      <c r="I19" s="65">
        <f t="shared" ref="I19:I20" si="10">H19-G19</f>
        <v>0</v>
      </c>
      <c r="J19" s="473"/>
      <c r="K19" s="485"/>
      <c r="L19" s="476">
        <f t="shared" si="0"/>
        <v>0</v>
      </c>
      <c r="M19" s="485"/>
      <c r="N19" s="476">
        <f t="shared" si="1"/>
        <v>0</v>
      </c>
      <c r="O19" s="476">
        <f t="shared" si="2"/>
        <v>0</v>
      </c>
      <c r="P19" s="241"/>
    </row>
    <row r="20" spans="2:16">
      <c r="B20" s="160" t="str">
        <f t="shared" ref="B20:B72" si="11">IF(D20=F19,"","IU")</f>
        <v/>
      </c>
      <c r="C20" s="470">
        <f>IF(D11="","-",+C19+1)</f>
        <v>2025</v>
      </c>
      <c r="D20" s="71">
        <f>IF(F19+SUM(E$17:E19)=D$10,F19,D$10-SUM(E$17:E19))</f>
        <v>67280.430378721489</v>
      </c>
      <c r="E20" s="69">
        <f t="shared" si="6"/>
        <v>1867.5710526315788</v>
      </c>
      <c r="F20" s="68">
        <f t="shared" si="7"/>
        <v>65412.859326089907</v>
      </c>
      <c r="G20" s="70">
        <f t="shared" si="8"/>
        <v>9413.8508834205768</v>
      </c>
      <c r="H20" s="52">
        <f t="shared" si="9"/>
        <v>9413.8508834205768</v>
      </c>
      <c r="I20" s="65">
        <f t="shared" si="10"/>
        <v>0</v>
      </c>
      <c r="J20" s="473"/>
      <c r="K20" s="485"/>
      <c r="L20" s="476">
        <f t="shared" si="0"/>
        <v>0</v>
      </c>
      <c r="M20" s="485"/>
      <c r="N20" s="476">
        <f t="shared" si="1"/>
        <v>0</v>
      </c>
      <c r="O20" s="476">
        <f t="shared" si="2"/>
        <v>0</v>
      </c>
      <c r="P20" s="241"/>
    </row>
    <row r="21" spans="2:16">
      <c r="B21" s="160" t="str">
        <f t="shared" si="11"/>
        <v/>
      </c>
      <c r="C21" s="470">
        <f>IF(D11="","-",+C20+1)</f>
        <v>2026</v>
      </c>
      <c r="D21" s="481">
        <f>IF(F20+SUM(E$17:E20)=D$10,F20,D$10-SUM(E$17:E20))</f>
        <v>65412.859326089907</v>
      </c>
      <c r="E21" s="482">
        <f t="shared" ref="E21:E71" si="12">IF(+I$14&lt;F20,I$14,D21)</f>
        <v>1867.5710526315788</v>
      </c>
      <c r="F21" s="483">
        <f t="shared" ref="F21:F71" si="13">+D21-E21</f>
        <v>63545.288273458325</v>
      </c>
      <c r="G21" s="484">
        <f t="shared" ref="G21:G71" si="14">(D21+F21)/2*I$12+E21</f>
        <v>9201.4330015760497</v>
      </c>
      <c r="H21" s="453">
        <f t="shared" ref="H21:H71" si="15">+(D21+F21)/2*I$13+E21</f>
        <v>9201.4330015760497</v>
      </c>
      <c r="I21" s="473">
        <f t="shared" ref="I21:I71" si="16">H21-G21</f>
        <v>0</v>
      </c>
      <c r="J21" s="473"/>
      <c r="K21" s="485"/>
      <c r="L21" s="476">
        <f t="shared" si="0"/>
        <v>0</v>
      </c>
      <c r="M21" s="485"/>
      <c r="N21" s="476">
        <f t="shared" si="1"/>
        <v>0</v>
      </c>
      <c r="O21" s="476">
        <f t="shared" si="2"/>
        <v>0</v>
      </c>
      <c r="P21" s="241"/>
    </row>
    <row r="22" spans="2:16">
      <c r="B22" s="160" t="str">
        <f t="shared" si="11"/>
        <v/>
      </c>
      <c r="C22" s="470">
        <f>IF(D11="","-",+C21+1)</f>
        <v>2027</v>
      </c>
      <c r="D22" s="481">
        <f>IF(F21+SUM(E$17:E21)=D$10,F21,D$10-SUM(E$17:E21))</f>
        <v>63545.288273458325</v>
      </c>
      <c r="E22" s="482">
        <f t="shared" si="12"/>
        <v>1867.5710526315788</v>
      </c>
      <c r="F22" s="483">
        <f t="shared" si="13"/>
        <v>61677.717220826744</v>
      </c>
      <c r="G22" s="484">
        <f t="shared" si="14"/>
        <v>8989.0151197315245</v>
      </c>
      <c r="H22" s="453">
        <f t="shared" si="15"/>
        <v>8989.0151197315245</v>
      </c>
      <c r="I22" s="473">
        <f t="shared" si="16"/>
        <v>0</v>
      </c>
      <c r="J22" s="473"/>
      <c r="K22" s="485"/>
      <c r="L22" s="476">
        <f t="shared" si="0"/>
        <v>0</v>
      </c>
      <c r="M22" s="485"/>
      <c r="N22" s="476">
        <f t="shared" si="1"/>
        <v>0</v>
      </c>
      <c r="O22" s="476">
        <f t="shared" si="2"/>
        <v>0</v>
      </c>
      <c r="P22" s="241"/>
    </row>
    <row r="23" spans="2:16">
      <c r="B23" s="160" t="str">
        <f t="shared" si="11"/>
        <v/>
      </c>
      <c r="C23" s="470">
        <f>IF(D11="","-",+C22+1)</f>
        <v>2028</v>
      </c>
      <c r="D23" s="481">
        <f>IF(F22+SUM(E$17:E22)=D$10,F22,D$10-SUM(E$17:E22))</f>
        <v>61677.717220826744</v>
      </c>
      <c r="E23" s="482">
        <f t="shared" si="12"/>
        <v>1867.5710526315788</v>
      </c>
      <c r="F23" s="483">
        <f t="shared" si="13"/>
        <v>59810.146168195162</v>
      </c>
      <c r="G23" s="484">
        <f t="shared" si="14"/>
        <v>8776.5972378869956</v>
      </c>
      <c r="H23" s="453">
        <f t="shared" si="15"/>
        <v>8776.5972378869956</v>
      </c>
      <c r="I23" s="473">
        <f t="shared" si="16"/>
        <v>0</v>
      </c>
      <c r="J23" s="473"/>
      <c r="K23" s="485"/>
      <c r="L23" s="476">
        <f t="shared" si="0"/>
        <v>0</v>
      </c>
      <c r="M23" s="485"/>
      <c r="N23" s="476">
        <f t="shared" si="1"/>
        <v>0</v>
      </c>
      <c r="O23" s="476">
        <f t="shared" si="2"/>
        <v>0</v>
      </c>
      <c r="P23" s="241"/>
    </row>
    <row r="24" spans="2:16">
      <c r="B24" s="160" t="str">
        <f t="shared" si="11"/>
        <v/>
      </c>
      <c r="C24" s="470">
        <f>IF(D11="","-",+C23+1)</f>
        <v>2029</v>
      </c>
      <c r="D24" s="481">
        <f>IF(F23+SUM(E$17:E23)=D$10,F23,D$10-SUM(E$17:E23))</f>
        <v>59810.146168195162</v>
      </c>
      <c r="E24" s="482">
        <f t="shared" si="12"/>
        <v>1867.5710526315788</v>
      </c>
      <c r="F24" s="483">
        <f t="shared" si="13"/>
        <v>57942.575115563581</v>
      </c>
      <c r="G24" s="484">
        <f t="shared" si="14"/>
        <v>8564.1793560424703</v>
      </c>
      <c r="H24" s="453">
        <f t="shared" si="15"/>
        <v>8564.1793560424703</v>
      </c>
      <c r="I24" s="473">
        <f t="shared" si="16"/>
        <v>0</v>
      </c>
      <c r="J24" s="473"/>
      <c r="K24" s="485"/>
      <c r="L24" s="476">
        <f t="shared" si="0"/>
        <v>0</v>
      </c>
      <c r="M24" s="485"/>
      <c r="N24" s="476">
        <f t="shared" si="1"/>
        <v>0</v>
      </c>
      <c r="O24" s="476">
        <f t="shared" si="2"/>
        <v>0</v>
      </c>
      <c r="P24" s="241"/>
    </row>
    <row r="25" spans="2:16">
      <c r="B25" s="160" t="str">
        <f t="shared" si="11"/>
        <v/>
      </c>
      <c r="C25" s="470">
        <f>IF(D11="","-",+C24+1)</f>
        <v>2030</v>
      </c>
      <c r="D25" s="481">
        <f>IF(F24+SUM(E$17:E24)=D$10,F24,D$10-SUM(E$17:E24))</f>
        <v>57942.575115563581</v>
      </c>
      <c r="E25" s="482">
        <f t="shared" si="12"/>
        <v>1867.5710526315788</v>
      </c>
      <c r="F25" s="483">
        <f t="shared" si="13"/>
        <v>56075.004062931999</v>
      </c>
      <c r="G25" s="484">
        <f t="shared" si="14"/>
        <v>8351.7614741979432</v>
      </c>
      <c r="H25" s="453">
        <f t="shared" si="15"/>
        <v>8351.7614741979432</v>
      </c>
      <c r="I25" s="473">
        <f t="shared" si="16"/>
        <v>0</v>
      </c>
      <c r="J25" s="473"/>
      <c r="K25" s="485"/>
      <c r="L25" s="476">
        <f t="shared" si="0"/>
        <v>0</v>
      </c>
      <c r="M25" s="485"/>
      <c r="N25" s="476">
        <f t="shared" si="1"/>
        <v>0</v>
      </c>
      <c r="O25" s="476">
        <f t="shared" si="2"/>
        <v>0</v>
      </c>
      <c r="P25" s="241"/>
    </row>
    <row r="26" spans="2:16">
      <c r="B26" s="160" t="str">
        <f t="shared" si="11"/>
        <v/>
      </c>
      <c r="C26" s="470">
        <f>IF(D11="","-",+C25+1)</f>
        <v>2031</v>
      </c>
      <c r="D26" s="481">
        <f>IF(F25+SUM(E$17:E25)=D$10,F25,D$10-SUM(E$17:E25))</f>
        <v>56075.004062931999</v>
      </c>
      <c r="E26" s="482">
        <f t="shared" si="12"/>
        <v>1867.5710526315788</v>
      </c>
      <c r="F26" s="483">
        <f t="shared" si="13"/>
        <v>54207.433010300418</v>
      </c>
      <c r="G26" s="484">
        <f t="shared" si="14"/>
        <v>8139.3435923534171</v>
      </c>
      <c r="H26" s="453">
        <f t="shared" si="15"/>
        <v>8139.3435923534171</v>
      </c>
      <c r="I26" s="473">
        <f t="shared" si="16"/>
        <v>0</v>
      </c>
      <c r="J26" s="473"/>
      <c r="K26" s="485"/>
      <c r="L26" s="476">
        <f t="shared" si="0"/>
        <v>0</v>
      </c>
      <c r="M26" s="485"/>
      <c r="N26" s="476">
        <f t="shared" si="1"/>
        <v>0</v>
      </c>
      <c r="O26" s="476">
        <f t="shared" si="2"/>
        <v>0</v>
      </c>
      <c r="P26" s="241"/>
    </row>
    <row r="27" spans="2:16">
      <c r="B27" s="160" t="str">
        <f t="shared" si="11"/>
        <v/>
      </c>
      <c r="C27" s="470">
        <f>IF(D11="","-",+C26+1)</f>
        <v>2032</v>
      </c>
      <c r="D27" s="481">
        <f>IF(F26+SUM(E$17:E26)=D$10,F26,D$10-SUM(E$17:E26))</f>
        <v>54207.433010300418</v>
      </c>
      <c r="E27" s="482">
        <f t="shared" si="12"/>
        <v>1867.5710526315788</v>
      </c>
      <c r="F27" s="483">
        <f t="shared" si="13"/>
        <v>52339.861957668836</v>
      </c>
      <c r="G27" s="484">
        <f t="shared" si="14"/>
        <v>7926.92571050889</v>
      </c>
      <c r="H27" s="453">
        <f t="shared" si="15"/>
        <v>7926.92571050889</v>
      </c>
      <c r="I27" s="473">
        <f t="shared" si="16"/>
        <v>0</v>
      </c>
      <c r="J27" s="473"/>
      <c r="K27" s="485"/>
      <c r="L27" s="476">
        <f t="shared" si="0"/>
        <v>0</v>
      </c>
      <c r="M27" s="485"/>
      <c r="N27" s="476">
        <f t="shared" si="1"/>
        <v>0</v>
      </c>
      <c r="O27" s="476">
        <f t="shared" si="2"/>
        <v>0</v>
      </c>
      <c r="P27" s="241"/>
    </row>
    <row r="28" spans="2:16">
      <c r="B28" s="160" t="str">
        <f t="shared" si="11"/>
        <v/>
      </c>
      <c r="C28" s="470">
        <f>IF(D11="","-",+C27+1)</f>
        <v>2033</v>
      </c>
      <c r="D28" s="481">
        <f>IF(F27+SUM(E$17:E27)=D$10,F27,D$10-SUM(E$17:E27))</f>
        <v>52339.861957668836</v>
      </c>
      <c r="E28" s="482">
        <f t="shared" si="12"/>
        <v>1867.5710526315788</v>
      </c>
      <c r="F28" s="483">
        <f t="shared" si="13"/>
        <v>50472.290905037255</v>
      </c>
      <c r="G28" s="484">
        <f t="shared" si="14"/>
        <v>7714.5078286643638</v>
      </c>
      <c r="H28" s="453">
        <f t="shared" si="15"/>
        <v>7714.5078286643638</v>
      </c>
      <c r="I28" s="473">
        <f t="shared" si="16"/>
        <v>0</v>
      </c>
      <c r="J28" s="473"/>
      <c r="K28" s="485"/>
      <c r="L28" s="476">
        <f t="shared" si="0"/>
        <v>0</v>
      </c>
      <c r="M28" s="485"/>
      <c r="N28" s="476">
        <f t="shared" si="1"/>
        <v>0</v>
      </c>
      <c r="O28" s="476">
        <f t="shared" si="2"/>
        <v>0</v>
      </c>
      <c r="P28" s="241"/>
    </row>
    <row r="29" spans="2:16">
      <c r="B29" s="160" t="str">
        <f t="shared" si="11"/>
        <v/>
      </c>
      <c r="C29" s="470">
        <f>IF(D11="","-",+C28+1)</f>
        <v>2034</v>
      </c>
      <c r="D29" s="481">
        <f>IF(F28+SUM(E$17:E28)=D$10,F28,D$10-SUM(E$17:E28))</f>
        <v>50472.290905037255</v>
      </c>
      <c r="E29" s="482">
        <f t="shared" si="12"/>
        <v>1867.5710526315788</v>
      </c>
      <c r="F29" s="483">
        <f t="shared" si="13"/>
        <v>48604.719852405673</v>
      </c>
      <c r="G29" s="484">
        <f t="shared" si="14"/>
        <v>7502.0899468198368</v>
      </c>
      <c r="H29" s="453">
        <f t="shared" si="15"/>
        <v>7502.0899468198368</v>
      </c>
      <c r="I29" s="473">
        <f t="shared" si="16"/>
        <v>0</v>
      </c>
      <c r="J29" s="473"/>
      <c r="K29" s="485"/>
      <c r="L29" s="476">
        <f t="shared" si="0"/>
        <v>0</v>
      </c>
      <c r="M29" s="485"/>
      <c r="N29" s="476">
        <f t="shared" si="1"/>
        <v>0</v>
      </c>
      <c r="O29" s="476">
        <f t="shared" si="2"/>
        <v>0</v>
      </c>
      <c r="P29" s="241"/>
    </row>
    <row r="30" spans="2:16">
      <c r="B30" s="160" t="str">
        <f t="shared" si="11"/>
        <v/>
      </c>
      <c r="C30" s="470">
        <f>IF(D11="","-",+C29+1)</f>
        <v>2035</v>
      </c>
      <c r="D30" s="481">
        <f>IF(F29+SUM(E$17:E29)=D$10,F29,D$10-SUM(E$17:E29))</f>
        <v>48604.719852405673</v>
      </c>
      <c r="E30" s="482">
        <f t="shared" si="12"/>
        <v>1867.5710526315788</v>
      </c>
      <c r="F30" s="483">
        <f t="shared" si="13"/>
        <v>46737.148799774091</v>
      </c>
      <c r="G30" s="484">
        <f t="shared" si="14"/>
        <v>7289.6720649753106</v>
      </c>
      <c r="H30" s="453">
        <f t="shared" si="15"/>
        <v>7289.6720649753106</v>
      </c>
      <c r="I30" s="473">
        <f t="shared" si="16"/>
        <v>0</v>
      </c>
      <c r="J30" s="473"/>
      <c r="K30" s="485"/>
      <c r="L30" s="476">
        <f t="shared" si="0"/>
        <v>0</v>
      </c>
      <c r="M30" s="485"/>
      <c r="N30" s="476">
        <f t="shared" si="1"/>
        <v>0</v>
      </c>
      <c r="O30" s="476">
        <f t="shared" si="2"/>
        <v>0</v>
      </c>
      <c r="P30" s="241"/>
    </row>
    <row r="31" spans="2:16">
      <c r="B31" s="160" t="str">
        <f t="shared" si="11"/>
        <v/>
      </c>
      <c r="C31" s="470">
        <f>IF(D11="","-",+C30+1)</f>
        <v>2036</v>
      </c>
      <c r="D31" s="481">
        <f>IF(F30+SUM(E$17:E30)=D$10,F30,D$10-SUM(E$17:E30))</f>
        <v>46737.148799774091</v>
      </c>
      <c r="E31" s="482">
        <f t="shared" si="12"/>
        <v>1867.5710526315788</v>
      </c>
      <c r="F31" s="483">
        <f t="shared" si="13"/>
        <v>44869.57774714251</v>
      </c>
      <c r="G31" s="484">
        <f t="shared" si="14"/>
        <v>7077.2541831307835</v>
      </c>
      <c r="H31" s="453">
        <f t="shared" si="15"/>
        <v>7077.2541831307835</v>
      </c>
      <c r="I31" s="473">
        <f t="shared" si="16"/>
        <v>0</v>
      </c>
      <c r="J31" s="473"/>
      <c r="K31" s="485"/>
      <c r="L31" s="476">
        <f t="shared" si="0"/>
        <v>0</v>
      </c>
      <c r="M31" s="485"/>
      <c r="N31" s="476">
        <f t="shared" si="1"/>
        <v>0</v>
      </c>
      <c r="O31" s="476">
        <f t="shared" si="2"/>
        <v>0</v>
      </c>
      <c r="P31" s="241"/>
    </row>
    <row r="32" spans="2:16">
      <c r="B32" s="160" t="str">
        <f t="shared" si="11"/>
        <v/>
      </c>
      <c r="C32" s="470">
        <f>IF(D11="","-",+C31+1)</f>
        <v>2037</v>
      </c>
      <c r="D32" s="481">
        <f>IF(F31+SUM(E$17:E31)=D$10,F31,D$10-SUM(E$17:E31))</f>
        <v>44869.57774714251</v>
      </c>
      <c r="E32" s="482">
        <f t="shared" si="12"/>
        <v>1867.5710526315788</v>
      </c>
      <c r="F32" s="483">
        <f t="shared" si="13"/>
        <v>43002.006694510928</v>
      </c>
      <c r="G32" s="484">
        <f t="shared" si="14"/>
        <v>6864.8363012862574</v>
      </c>
      <c r="H32" s="453">
        <f t="shared" si="15"/>
        <v>6864.8363012862574</v>
      </c>
      <c r="I32" s="473">
        <f t="shared" si="16"/>
        <v>0</v>
      </c>
      <c r="J32" s="473"/>
      <c r="K32" s="485"/>
      <c r="L32" s="476">
        <f t="shared" si="0"/>
        <v>0</v>
      </c>
      <c r="M32" s="485"/>
      <c r="N32" s="476">
        <f t="shared" si="1"/>
        <v>0</v>
      </c>
      <c r="O32" s="476">
        <f t="shared" si="2"/>
        <v>0</v>
      </c>
      <c r="P32" s="241"/>
    </row>
    <row r="33" spans="2:16">
      <c r="B33" s="160" t="str">
        <f t="shared" si="11"/>
        <v/>
      </c>
      <c r="C33" s="470">
        <f>IF(D11="","-",+C32+1)</f>
        <v>2038</v>
      </c>
      <c r="D33" s="481">
        <f>IF(F32+SUM(E$17:E32)=D$10,F32,D$10-SUM(E$17:E32))</f>
        <v>43002.006694510928</v>
      </c>
      <c r="E33" s="482">
        <f t="shared" si="12"/>
        <v>1867.5710526315788</v>
      </c>
      <c r="F33" s="483">
        <f t="shared" si="13"/>
        <v>41134.435641879347</v>
      </c>
      <c r="G33" s="484">
        <f t="shared" si="14"/>
        <v>6652.4184194417312</v>
      </c>
      <c r="H33" s="453">
        <f t="shared" si="15"/>
        <v>6652.4184194417312</v>
      </c>
      <c r="I33" s="473">
        <f t="shared" si="16"/>
        <v>0</v>
      </c>
      <c r="J33" s="473"/>
      <c r="K33" s="485"/>
      <c r="L33" s="476">
        <f t="shared" si="0"/>
        <v>0</v>
      </c>
      <c r="M33" s="485"/>
      <c r="N33" s="476">
        <f t="shared" si="1"/>
        <v>0</v>
      </c>
      <c r="O33" s="476">
        <f t="shared" si="2"/>
        <v>0</v>
      </c>
      <c r="P33" s="241"/>
    </row>
    <row r="34" spans="2:16">
      <c r="B34" s="160" t="str">
        <f t="shared" si="11"/>
        <v/>
      </c>
      <c r="C34" s="470">
        <f>IF(D11="","-",+C33+1)</f>
        <v>2039</v>
      </c>
      <c r="D34" s="481">
        <f>IF(F33+SUM(E$17:E33)=D$10,F33,D$10-SUM(E$17:E33))</f>
        <v>41134.435641879347</v>
      </c>
      <c r="E34" s="482">
        <f t="shared" si="12"/>
        <v>1867.5710526315788</v>
      </c>
      <c r="F34" s="483">
        <f t="shared" si="13"/>
        <v>39266.864589247765</v>
      </c>
      <c r="G34" s="484">
        <f t="shared" si="14"/>
        <v>6440.0005375972041</v>
      </c>
      <c r="H34" s="453">
        <f t="shared" si="15"/>
        <v>6440.0005375972041</v>
      </c>
      <c r="I34" s="473">
        <f t="shared" si="16"/>
        <v>0</v>
      </c>
      <c r="J34" s="473"/>
      <c r="K34" s="485"/>
      <c r="L34" s="476">
        <f t="shared" si="0"/>
        <v>0</v>
      </c>
      <c r="M34" s="485"/>
      <c r="N34" s="476">
        <f t="shared" si="1"/>
        <v>0</v>
      </c>
      <c r="O34" s="476">
        <f t="shared" si="2"/>
        <v>0</v>
      </c>
      <c r="P34" s="241"/>
    </row>
    <row r="35" spans="2:16">
      <c r="B35" s="160" t="str">
        <f t="shared" si="11"/>
        <v/>
      </c>
      <c r="C35" s="470">
        <f>IF(D11="","-",+C34+1)</f>
        <v>2040</v>
      </c>
      <c r="D35" s="481">
        <f>IF(F34+SUM(E$17:E34)=D$10,F34,D$10-SUM(E$17:E34))</f>
        <v>39266.864589247765</v>
      </c>
      <c r="E35" s="482">
        <f t="shared" si="12"/>
        <v>1867.5710526315788</v>
      </c>
      <c r="F35" s="483">
        <f t="shared" si="13"/>
        <v>37399.293536616184</v>
      </c>
      <c r="G35" s="484">
        <f t="shared" si="14"/>
        <v>6227.582655752678</v>
      </c>
      <c r="H35" s="453">
        <f t="shared" si="15"/>
        <v>6227.582655752678</v>
      </c>
      <c r="I35" s="473">
        <f t="shared" si="16"/>
        <v>0</v>
      </c>
      <c r="J35" s="473"/>
      <c r="K35" s="485"/>
      <c r="L35" s="476">
        <f t="shared" si="0"/>
        <v>0</v>
      </c>
      <c r="M35" s="485"/>
      <c r="N35" s="476">
        <f t="shared" si="1"/>
        <v>0</v>
      </c>
      <c r="O35" s="476">
        <f t="shared" si="2"/>
        <v>0</v>
      </c>
      <c r="P35" s="241"/>
    </row>
    <row r="36" spans="2:16">
      <c r="B36" s="160" t="str">
        <f t="shared" si="11"/>
        <v/>
      </c>
      <c r="C36" s="470">
        <f>IF(D11="","-",+C35+1)</f>
        <v>2041</v>
      </c>
      <c r="D36" s="481">
        <f>IF(F35+SUM(E$17:E35)=D$10,F35,D$10-SUM(E$17:E35))</f>
        <v>37399.293536616184</v>
      </c>
      <c r="E36" s="482">
        <f t="shared" si="12"/>
        <v>1867.5710526315788</v>
      </c>
      <c r="F36" s="483">
        <f t="shared" si="13"/>
        <v>35531.722483984602</v>
      </c>
      <c r="G36" s="484">
        <f t="shared" si="14"/>
        <v>6015.1647739081509</v>
      </c>
      <c r="H36" s="453">
        <f t="shared" si="15"/>
        <v>6015.1647739081509</v>
      </c>
      <c r="I36" s="473">
        <f t="shared" si="16"/>
        <v>0</v>
      </c>
      <c r="J36" s="473"/>
      <c r="K36" s="485"/>
      <c r="L36" s="476">
        <f t="shared" si="0"/>
        <v>0</v>
      </c>
      <c r="M36" s="485"/>
      <c r="N36" s="476">
        <f t="shared" si="1"/>
        <v>0</v>
      </c>
      <c r="O36" s="476">
        <f t="shared" si="2"/>
        <v>0</v>
      </c>
      <c r="P36" s="241"/>
    </row>
    <row r="37" spans="2:16">
      <c r="B37" s="160" t="str">
        <f t="shared" si="11"/>
        <v/>
      </c>
      <c r="C37" s="470">
        <f>IF(D11="","-",+C36+1)</f>
        <v>2042</v>
      </c>
      <c r="D37" s="481">
        <f>IF(F36+SUM(E$17:E36)=D$10,F36,D$10-SUM(E$17:E36))</f>
        <v>35531.722483984602</v>
      </c>
      <c r="E37" s="482">
        <f t="shared" si="12"/>
        <v>1867.5710526315788</v>
      </c>
      <c r="F37" s="483">
        <f t="shared" si="13"/>
        <v>33664.151431353021</v>
      </c>
      <c r="G37" s="484">
        <f t="shared" si="14"/>
        <v>5802.7468920636238</v>
      </c>
      <c r="H37" s="453">
        <f t="shared" si="15"/>
        <v>5802.7468920636238</v>
      </c>
      <c r="I37" s="473">
        <f t="shared" si="16"/>
        <v>0</v>
      </c>
      <c r="J37" s="473"/>
      <c r="K37" s="485"/>
      <c r="L37" s="476">
        <f t="shared" si="0"/>
        <v>0</v>
      </c>
      <c r="M37" s="485"/>
      <c r="N37" s="476">
        <f t="shared" si="1"/>
        <v>0</v>
      </c>
      <c r="O37" s="476">
        <f t="shared" si="2"/>
        <v>0</v>
      </c>
      <c r="P37" s="241"/>
    </row>
    <row r="38" spans="2:16">
      <c r="B38" s="160" t="str">
        <f t="shared" si="11"/>
        <v/>
      </c>
      <c r="C38" s="470">
        <f>IF(D11="","-",+C37+1)</f>
        <v>2043</v>
      </c>
      <c r="D38" s="481">
        <f>IF(F37+SUM(E$17:E37)=D$10,F37,D$10-SUM(E$17:E37))</f>
        <v>33664.151431353021</v>
      </c>
      <c r="E38" s="482">
        <f t="shared" si="12"/>
        <v>1867.5710526315788</v>
      </c>
      <c r="F38" s="483">
        <f t="shared" si="13"/>
        <v>31796.580378721443</v>
      </c>
      <c r="G38" s="484">
        <f t="shared" si="14"/>
        <v>5590.3290102190986</v>
      </c>
      <c r="H38" s="453">
        <f t="shared" si="15"/>
        <v>5590.3290102190986</v>
      </c>
      <c r="I38" s="473">
        <f t="shared" si="16"/>
        <v>0</v>
      </c>
      <c r="J38" s="473"/>
      <c r="K38" s="485"/>
      <c r="L38" s="476">
        <f t="shared" si="0"/>
        <v>0</v>
      </c>
      <c r="M38" s="485"/>
      <c r="N38" s="476">
        <f t="shared" si="1"/>
        <v>0</v>
      </c>
      <c r="O38" s="476">
        <f t="shared" si="2"/>
        <v>0</v>
      </c>
      <c r="P38" s="241"/>
    </row>
    <row r="39" spans="2:16">
      <c r="B39" s="160" t="str">
        <f t="shared" si="11"/>
        <v/>
      </c>
      <c r="C39" s="470">
        <f>IF(D11="","-",+C38+1)</f>
        <v>2044</v>
      </c>
      <c r="D39" s="481">
        <f>IF(F38+SUM(E$17:E38)=D$10,F38,D$10-SUM(E$17:E38))</f>
        <v>31796.580378721443</v>
      </c>
      <c r="E39" s="482">
        <f t="shared" si="12"/>
        <v>1867.5710526315788</v>
      </c>
      <c r="F39" s="483">
        <f t="shared" si="13"/>
        <v>29929.009326089865</v>
      </c>
      <c r="G39" s="484">
        <f t="shared" si="14"/>
        <v>5377.9111283745715</v>
      </c>
      <c r="H39" s="453">
        <f t="shared" si="15"/>
        <v>5377.9111283745715</v>
      </c>
      <c r="I39" s="473">
        <f t="shared" si="16"/>
        <v>0</v>
      </c>
      <c r="J39" s="473"/>
      <c r="K39" s="485"/>
      <c r="L39" s="476">
        <f t="shared" si="0"/>
        <v>0</v>
      </c>
      <c r="M39" s="485"/>
      <c r="N39" s="476">
        <f t="shared" si="1"/>
        <v>0</v>
      </c>
      <c r="O39" s="476">
        <f t="shared" si="2"/>
        <v>0</v>
      </c>
      <c r="P39" s="241"/>
    </row>
    <row r="40" spans="2:16">
      <c r="B40" s="160" t="str">
        <f t="shared" si="11"/>
        <v/>
      </c>
      <c r="C40" s="470">
        <f>IF(D11="","-",+C39+1)</f>
        <v>2045</v>
      </c>
      <c r="D40" s="481">
        <f>IF(F39+SUM(E$17:E39)=D$10,F39,D$10-SUM(E$17:E39))</f>
        <v>29929.009326089865</v>
      </c>
      <c r="E40" s="482">
        <f t="shared" si="12"/>
        <v>1867.5710526315788</v>
      </c>
      <c r="F40" s="483">
        <f t="shared" si="13"/>
        <v>28061.438273458287</v>
      </c>
      <c r="G40" s="484">
        <f t="shared" si="14"/>
        <v>5165.4932465300462</v>
      </c>
      <c r="H40" s="453">
        <f t="shared" si="15"/>
        <v>5165.4932465300462</v>
      </c>
      <c r="I40" s="473">
        <f t="shared" si="16"/>
        <v>0</v>
      </c>
      <c r="J40" s="473"/>
      <c r="K40" s="485"/>
      <c r="L40" s="476">
        <f t="shared" si="0"/>
        <v>0</v>
      </c>
      <c r="M40" s="485"/>
      <c r="N40" s="476">
        <f t="shared" si="1"/>
        <v>0</v>
      </c>
      <c r="O40" s="476">
        <f t="shared" si="2"/>
        <v>0</v>
      </c>
      <c r="P40" s="241"/>
    </row>
    <row r="41" spans="2:16">
      <c r="B41" s="160" t="str">
        <f t="shared" si="11"/>
        <v/>
      </c>
      <c r="C41" s="470">
        <f>IF(D11="","-",+C40+1)</f>
        <v>2046</v>
      </c>
      <c r="D41" s="481">
        <f>IF(F40+SUM(E$17:E40)=D$10,F40,D$10-SUM(E$17:E40))</f>
        <v>28061.438273458287</v>
      </c>
      <c r="E41" s="482">
        <f t="shared" si="12"/>
        <v>1867.5710526315788</v>
      </c>
      <c r="F41" s="483">
        <f t="shared" si="13"/>
        <v>26193.867220826709</v>
      </c>
      <c r="G41" s="484">
        <f t="shared" si="14"/>
        <v>4953.0753646855192</v>
      </c>
      <c r="H41" s="453">
        <f t="shared" si="15"/>
        <v>4953.0753646855192</v>
      </c>
      <c r="I41" s="473">
        <f t="shared" si="16"/>
        <v>0</v>
      </c>
      <c r="J41" s="473"/>
      <c r="K41" s="485"/>
      <c r="L41" s="476">
        <f t="shared" si="0"/>
        <v>0</v>
      </c>
      <c r="M41" s="485"/>
      <c r="N41" s="476">
        <f t="shared" si="1"/>
        <v>0</v>
      </c>
      <c r="O41" s="476">
        <f t="shared" si="2"/>
        <v>0</v>
      </c>
      <c r="P41" s="241"/>
    </row>
    <row r="42" spans="2:16">
      <c r="B42" s="160" t="str">
        <f t="shared" si="11"/>
        <v/>
      </c>
      <c r="C42" s="470">
        <f>IF(D11="","-",+C41+1)</f>
        <v>2047</v>
      </c>
      <c r="D42" s="481">
        <f>IF(F41+SUM(E$17:E41)=D$10,F41,D$10-SUM(E$17:E41))</f>
        <v>26193.867220826709</v>
      </c>
      <c r="E42" s="482">
        <f t="shared" si="12"/>
        <v>1867.5710526315788</v>
      </c>
      <c r="F42" s="483">
        <f t="shared" si="13"/>
        <v>24326.296168195131</v>
      </c>
      <c r="G42" s="484">
        <f t="shared" si="14"/>
        <v>4740.6574828409939</v>
      </c>
      <c r="H42" s="453">
        <f t="shared" si="15"/>
        <v>4740.6574828409939</v>
      </c>
      <c r="I42" s="473">
        <f t="shared" si="16"/>
        <v>0</v>
      </c>
      <c r="J42" s="473"/>
      <c r="K42" s="485"/>
      <c r="L42" s="476">
        <f t="shared" si="0"/>
        <v>0</v>
      </c>
      <c r="M42" s="485"/>
      <c r="N42" s="476">
        <f t="shared" si="1"/>
        <v>0</v>
      </c>
      <c r="O42" s="476">
        <f t="shared" si="2"/>
        <v>0</v>
      </c>
      <c r="P42" s="241"/>
    </row>
    <row r="43" spans="2:16">
      <c r="B43" s="160" t="str">
        <f t="shared" si="11"/>
        <v/>
      </c>
      <c r="C43" s="470">
        <f>IF(D11="","-",+C42+1)</f>
        <v>2048</v>
      </c>
      <c r="D43" s="481">
        <f>IF(F42+SUM(E$17:E42)=D$10,F42,D$10-SUM(E$17:E42))</f>
        <v>24326.296168195131</v>
      </c>
      <c r="E43" s="482">
        <f t="shared" si="12"/>
        <v>1867.5710526315788</v>
      </c>
      <c r="F43" s="483">
        <f t="shared" si="13"/>
        <v>22458.725115563553</v>
      </c>
      <c r="G43" s="484">
        <f t="shared" si="14"/>
        <v>4528.2396009964668</v>
      </c>
      <c r="H43" s="453">
        <f t="shared" si="15"/>
        <v>4528.2396009964668</v>
      </c>
      <c r="I43" s="473">
        <f t="shared" si="16"/>
        <v>0</v>
      </c>
      <c r="J43" s="473"/>
      <c r="K43" s="485"/>
      <c r="L43" s="476">
        <f t="shared" si="0"/>
        <v>0</v>
      </c>
      <c r="M43" s="485"/>
      <c r="N43" s="476">
        <f t="shared" si="1"/>
        <v>0</v>
      </c>
      <c r="O43" s="476">
        <f t="shared" si="2"/>
        <v>0</v>
      </c>
      <c r="P43" s="241"/>
    </row>
    <row r="44" spans="2:16">
      <c r="B44" s="160" t="str">
        <f t="shared" si="11"/>
        <v/>
      </c>
      <c r="C44" s="470">
        <f>IF(D11="","-",+C43+1)</f>
        <v>2049</v>
      </c>
      <c r="D44" s="481">
        <f>IF(F43+SUM(E$17:E43)=D$10,F43,D$10-SUM(E$17:E43))</f>
        <v>22458.725115563553</v>
      </c>
      <c r="E44" s="482">
        <f t="shared" si="12"/>
        <v>1867.5710526315788</v>
      </c>
      <c r="F44" s="483">
        <f t="shared" si="13"/>
        <v>20591.154062931975</v>
      </c>
      <c r="G44" s="484">
        <f t="shared" si="14"/>
        <v>4315.8217191519407</v>
      </c>
      <c r="H44" s="453">
        <f t="shared" si="15"/>
        <v>4315.8217191519407</v>
      </c>
      <c r="I44" s="473">
        <f t="shared" si="16"/>
        <v>0</v>
      </c>
      <c r="J44" s="473"/>
      <c r="K44" s="485"/>
      <c r="L44" s="476">
        <f t="shared" si="0"/>
        <v>0</v>
      </c>
      <c r="M44" s="485"/>
      <c r="N44" s="476">
        <f t="shared" si="1"/>
        <v>0</v>
      </c>
      <c r="O44" s="476">
        <f t="shared" si="2"/>
        <v>0</v>
      </c>
      <c r="P44" s="241"/>
    </row>
    <row r="45" spans="2:16">
      <c r="B45" s="160" t="str">
        <f t="shared" si="11"/>
        <v/>
      </c>
      <c r="C45" s="470">
        <f>IF(D11="","-",+C44+1)</f>
        <v>2050</v>
      </c>
      <c r="D45" s="481">
        <f>IF(F44+SUM(E$17:E44)=D$10,F44,D$10-SUM(E$17:E44))</f>
        <v>20591.154062931975</v>
      </c>
      <c r="E45" s="482">
        <f t="shared" si="12"/>
        <v>1867.5710526315788</v>
      </c>
      <c r="F45" s="483">
        <f t="shared" si="13"/>
        <v>18723.583010300397</v>
      </c>
      <c r="G45" s="484">
        <f t="shared" si="14"/>
        <v>4103.4038373074145</v>
      </c>
      <c r="H45" s="453">
        <f t="shared" si="15"/>
        <v>4103.4038373074145</v>
      </c>
      <c r="I45" s="473">
        <f t="shared" si="16"/>
        <v>0</v>
      </c>
      <c r="J45" s="473"/>
      <c r="K45" s="485"/>
      <c r="L45" s="476">
        <f t="shared" si="0"/>
        <v>0</v>
      </c>
      <c r="M45" s="485"/>
      <c r="N45" s="476">
        <f t="shared" si="1"/>
        <v>0</v>
      </c>
      <c r="O45" s="476">
        <f t="shared" si="2"/>
        <v>0</v>
      </c>
      <c r="P45" s="241"/>
    </row>
    <row r="46" spans="2:16">
      <c r="B46" s="160" t="str">
        <f t="shared" si="11"/>
        <v/>
      </c>
      <c r="C46" s="470">
        <f>IF(D11="","-",+C45+1)</f>
        <v>2051</v>
      </c>
      <c r="D46" s="481">
        <f>IF(F45+SUM(E$17:E45)=D$10,F45,D$10-SUM(E$17:E45))</f>
        <v>18723.583010300397</v>
      </c>
      <c r="E46" s="482">
        <f t="shared" si="12"/>
        <v>1867.5710526315788</v>
      </c>
      <c r="F46" s="483">
        <f t="shared" si="13"/>
        <v>16856.011957668819</v>
      </c>
      <c r="G46" s="484">
        <f t="shared" si="14"/>
        <v>3890.9859554628883</v>
      </c>
      <c r="H46" s="453">
        <f t="shared" si="15"/>
        <v>3890.9859554628883</v>
      </c>
      <c r="I46" s="473">
        <f t="shared" si="16"/>
        <v>0</v>
      </c>
      <c r="J46" s="473"/>
      <c r="K46" s="485"/>
      <c r="L46" s="476">
        <f t="shared" si="0"/>
        <v>0</v>
      </c>
      <c r="M46" s="485"/>
      <c r="N46" s="476">
        <f t="shared" si="1"/>
        <v>0</v>
      </c>
      <c r="O46" s="476">
        <f t="shared" si="2"/>
        <v>0</v>
      </c>
      <c r="P46" s="241"/>
    </row>
    <row r="47" spans="2:16">
      <c r="B47" s="160" t="str">
        <f t="shared" si="11"/>
        <v/>
      </c>
      <c r="C47" s="470">
        <f>IF(D11="","-",+C46+1)</f>
        <v>2052</v>
      </c>
      <c r="D47" s="481">
        <f>IF(F46+SUM(E$17:E46)=D$10,F46,D$10-SUM(E$17:E46))</f>
        <v>16856.011957668819</v>
      </c>
      <c r="E47" s="482">
        <f t="shared" si="12"/>
        <v>1867.5710526315788</v>
      </c>
      <c r="F47" s="483">
        <f t="shared" si="13"/>
        <v>14988.440905037241</v>
      </c>
      <c r="G47" s="484">
        <f t="shared" si="14"/>
        <v>3678.5680736183626</v>
      </c>
      <c r="H47" s="453">
        <f t="shared" si="15"/>
        <v>3678.5680736183626</v>
      </c>
      <c r="I47" s="473">
        <f t="shared" si="16"/>
        <v>0</v>
      </c>
      <c r="J47" s="473"/>
      <c r="K47" s="485"/>
      <c r="L47" s="476">
        <f t="shared" si="0"/>
        <v>0</v>
      </c>
      <c r="M47" s="485"/>
      <c r="N47" s="476">
        <f t="shared" si="1"/>
        <v>0</v>
      </c>
      <c r="O47" s="476">
        <f t="shared" si="2"/>
        <v>0</v>
      </c>
      <c r="P47" s="241"/>
    </row>
    <row r="48" spans="2:16">
      <c r="B48" s="160" t="str">
        <f t="shared" si="11"/>
        <v/>
      </c>
      <c r="C48" s="470">
        <f>IF(D11="","-",+C47+1)</f>
        <v>2053</v>
      </c>
      <c r="D48" s="481">
        <f>IF(F47+SUM(E$17:E47)=D$10,F47,D$10-SUM(E$17:E47))</f>
        <v>14988.440905037241</v>
      </c>
      <c r="E48" s="482">
        <f t="shared" si="12"/>
        <v>1867.5710526315788</v>
      </c>
      <c r="F48" s="483">
        <f t="shared" si="13"/>
        <v>13120.869852405664</v>
      </c>
      <c r="G48" s="484">
        <f t="shared" si="14"/>
        <v>3466.1501917738365</v>
      </c>
      <c r="H48" s="453">
        <f t="shared" si="15"/>
        <v>3466.1501917738365</v>
      </c>
      <c r="I48" s="473">
        <f t="shared" si="16"/>
        <v>0</v>
      </c>
      <c r="J48" s="473"/>
      <c r="K48" s="485"/>
      <c r="L48" s="476">
        <f t="shared" si="0"/>
        <v>0</v>
      </c>
      <c r="M48" s="485"/>
      <c r="N48" s="476">
        <f t="shared" si="1"/>
        <v>0</v>
      </c>
      <c r="O48" s="476">
        <f t="shared" si="2"/>
        <v>0</v>
      </c>
      <c r="P48" s="241"/>
    </row>
    <row r="49" spans="2:16">
      <c r="B49" s="160" t="str">
        <f t="shared" si="11"/>
        <v/>
      </c>
      <c r="C49" s="470">
        <f>IF(D11="","-",+C48+1)</f>
        <v>2054</v>
      </c>
      <c r="D49" s="481">
        <f>IF(F48+SUM(E$17:E48)=D$10,F48,D$10-SUM(E$17:E48))</f>
        <v>13120.869852405664</v>
      </c>
      <c r="E49" s="482">
        <f t="shared" si="12"/>
        <v>1867.5710526315788</v>
      </c>
      <c r="F49" s="483">
        <f t="shared" si="13"/>
        <v>11253.298799774086</v>
      </c>
      <c r="G49" s="484">
        <f t="shared" si="14"/>
        <v>3253.7323099293103</v>
      </c>
      <c r="H49" s="453">
        <f t="shared" si="15"/>
        <v>3253.7323099293103</v>
      </c>
      <c r="I49" s="473">
        <f t="shared" si="16"/>
        <v>0</v>
      </c>
      <c r="J49" s="473"/>
      <c r="K49" s="485"/>
      <c r="L49" s="476">
        <f t="shared" si="0"/>
        <v>0</v>
      </c>
      <c r="M49" s="485"/>
      <c r="N49" s="476">
        <f t="shared" si="1"/>
        <v>0</v>
      </c>
      <c r="O49" s="476">
        <f t="shared" si="2"/>
        <v>0</v>
      </c>
      <c r="P49" s="241"/>
    </row>
    <row r="50" spans="2:16">
      <c r="B50" s="160" t="str">
        <f t="shared" si="11"/>
        <v/>
      </c>
      <c r="C50" s="470">
        <f>IF(D11="","-",+C49+1)</f>
        <v>2055</v>
      </c>
      <c r="D50" s="481">
        <f>IF(F49+SUM(E$17:E49)=D$10,F49,D$10-SUM(E$17:E49))</f>
        <v>11253.298799774086</v>
      </c>
      <c r="E50" s="482">
        <f t="shared" si="12"/>
        <v>1867.5710526315788</v>
      </c>
      <c r="F50" s="483">
        <f t="shared" si="13"/>
        <v>9385.7277471425077</v>
      </c>
      <c r="G50" s="484">
        <f t="shared" si="14"/>
        <v>3041.3144280847841</v>
      </c>
      <c r="H50" s="453">
        <f t="shared" si="15"/>
        <v>3041.3144280847841</v>
      </c>
      <c r="I50" s="473">
        <f t="shared" si="16"/>
        <v>0</v>
      </c>
      <c r="J50" s="473"/>
      <c r="K50" s="485"/>
      <c r="L50" s="476">
        <f t="shared" si="0"/>
        <v>0</v>
      </c>
      <c r="M50" s="485"/>
      <c r="N50" s="476">
        <f t="shared" si="1"/>
        <v>0</v>
      </c>
      <c r="O50" s="476">
        <f t="shared" si="2"/>
        <v>0</v>
      </c>
      <c r="P50" s="241"/>
    </row>
    <row r="51" spans="2:16">
      <c r="B51" s="160" t="str">
        <f t="shared" si="11"/>
        <v/>
      </c>
      <c r="C51" s="470">
        <f>IF(D11="","-",+C50+1)</f>
        <v>2056</v>
      </c>
      <c r="D51" s="481">
        <f>IF(F50+SUM(E$17:E50)=D$10,F50,D$10-SUM(E$17:E50))</f>
        <v>9385.7277471425077</v>
      </c>
      <c r="E51" s="482">
        <f t="shared" si="12"/>
        <v>1867.5710526315788</v>
      </c>
      <c r="F51" s="483">
        <f t="shared" si="13"/>
        <v>7518.1566945109289</v>
      </c>
      <c r="G51" s="484">
        <f t="shared" si="14"/>
        <v>2828.896546240258</v>
      </c>
      <c r="H51" s="453">
        <f t="shared" si="15"/>
        <v>2828.896546240258</v>
      </c>
      <c r="I51" s="473">
        <f t="shared" si="16"/>
        <v>0</v>
      </c>
      <c r="J51" s="473"/>
      <c r="K51" s="485"/>
      <c r="L51" s="476">
        <f t="shared" si="0"/>
        <v>0</v>
      </c>
      <c r="M51" s="485"/>
      <c r="N51" s="476">
        <f t="shared" si="1"/>
        <v>0</v>
      </c>
      <c r="O51" s="476">
        <f t="shared" si="2"/>
        <v>0</v>
      </c>
      <c r="P51" s="241"/>
    </row>
    <row r="52" spans="2:16">
      <c r="B52" s="160" t="str">
        <f t="shared" si="11"/>
        <v/>
      </c>
      <c r="C52" s="470">
        <f>IF(D11="","-",+C51+1)</f>
        <v>2057</v>
      </c>
      <c r="D52" s="481">
        <f>IF(F51+SUM(E$17:E51)=D$10,F51,D$10-SUM(E$17:E51))</f>
        <v>7518.1566945109289</v>
      </c>
      <c r="E52" s="482">
        <f t="shared" si="12"/>
        <v>1867.5710526315788</v>
      </c>
      <c r="F52" s="483">
        <f t="shared" si="13"/>
        <v>5650.5856418793501</v>
      </c>
      <c r="G52" s="484">
        <f t="shared" si="14"/>
        <v>2616.4786643957314</v>
      </c>
      <c r="H52" s="453">
        <f t="shared" si="15"/>
        <v>2616.4786643957314</v>
      </c>
      <c r="I52" s="473">
        <f t="shared" si="16"/>
        <v>0</v>
      </c>
      <c r="J52" s="473"/>
      <c r="K52" s="485"/>
      <c r="L52" s="476">
        <f t="shared" si="0"/>
        <v>0</v>
      </c>
      <c r="M52" s="485"/>
      <c r="N52" s="476">
        <f t="shared" si="1"/>
        <v>0</v>
      </c>
      <c r="O52" s="476">
        <f t="shared" si="2"/>
        <v>0</v>
      </c>
      <c r="P52" s="241"/>
    </row>
    <row r="53" spans="2:16">
      <c r="B53" s="160" t="str">
        <f t="shared" si="11"/>
        <v/>
      </c>
      <c r="C53" s="470">
        <f>IF(D11="","-",+C52+1)</f>
        <v>2058</v>
      </c>
      <c r="D53" s="481">
        <f>IF(F52+SUM(E$17:E52)=D$10,F52,D$10-SUM(E$17:E52))</f>
        <v>5650.5856418793501</v>
      </c>
      <c r="E53" s="482">
        <f t="shared" si="12"/>
        <v>1867.5710526315788</v>
      </c>
      <c r="F53" s="483">
        <f t="shared" si="13"/>
        <v>3783.0145892477713</v>
      </c>
      <c r="G53" s="484">
        <f t="shared" si="14"/>
        <v>2404.0607825512052</v>
      </c>
      <c r="H53" s="453">
        <f t="shared" si="15"/>
        <v>2404.0607825512052</v>
      </c>
      <c r="I53" s="473">
        <f t="shared" si="16"/>
        <v>0</v>
      </c>
      <c r="J53" s="473"/>
      <c r="K53" s="485"/>
      <c r="L53" s="476">
        <f t="shared" si="0"/>
        <v>0</v>
      </c>
      <c r="M53" s="485"/>
      <c r="N53" s="476">
        <f t="shared" si="1"/>
        <v>0</v>
      </c>
      <c r="O53" s="476">
        <f t="shared" si="2"/>
        <v>0</v>
      </c>
      <c r="P53" s="241"/>
    </row>
    <row r="54" spans="2:16">
      <c r="B54" s="160" t="str">
        <f t="shared" si="11"/>
        <v/>
      </c>
      <c r="C54" s="470">
        <f>IF(D11="","-",+C53+1)</f>
        <v>2059</v>
      </c>
      <c r="D54" s="481">
        <f>IF(F53+SUM(E$17:E53)=D$10,F53,D$10-SUM(E$17:E53))</f>
        <v>3783.0145892477713</v>
      </c>
      <c r="E54" s="482">
        <f t="shared" si="12"/>
        <v>1867.5710526315788</v>
      </c>
      <c r="F54" s="483">
        <f t="shared" si="13"/>
        <v>1915.4435366161924</v>
      </c>
      <c r="G54" s="484">
        <f t="shared" si="14"/>
        <v>2191.642900706679</v>
      </c>
      <c r="H54" s="453">
        <f t="shared" si="15"/>
        <v>2191.642900706679</v>
      </c>
      <c r="I54" s="473">
        <f t="shared" si="16"/>
        <v>0</v>
      </c>
      <c r="J54" s="473"/>
      <c r="K54" s="485"/>
      <c r="L54" s="476">
        <f t="shared" si="0"/>
        <v>0</v>
      </c>
      <c r="M54" s="485"/>
      <c r="N54" s="476">
        <f t="shared" si="1"/>
        <v>0</v>
      </c>
      <c r="O54" s="476">
        <f t="shared" si="2"/>
        <v>0</v>
      </c>
      <c r="P54" s="241"/>
    </row>
    <row r="55" spans="2:16">
      <c r="B55" s="160" t="str">
        <f t="shared" si="11"/>
        <v/>
      </c>
      <c r="C55" s="470">
        <f>IF(D11="","-",+C54+1)</f>
        <v>2060</v>
      </c>
      <c r="D55" s="481">
        <f>IF(F54+SUM(E$17:E54)=D$10,F54,D$10-SUM(E$17:E54))</f>
        <v>1915.4435366161924</v>
      </c>
      <c r="E55" s="482">
        <f t="shared" si="12"/>
        <v>1867.5710526315788</v>
      </c>
      <c r="F55" s="483">
        <f t="shared" si="13"/>
        <v>47.872483984613609</v>
      </c>
      <c r="G55" s="484">
        <f t="shared" si="14"/>
        <v>1979.2250188621529</v>
      </c>
      <c r="H55" s="453">
        <f t="shared" si="15"/>
        <v>1979.2250188621529</v>
      </c>
      <c r="I55" s="473">
        <f t="shared" si="16"/>
        <v>0</v>
      </c>
      <c r="J55" s="473"/>
      <c r="K55" s="485"/>
      <c r="L55" s="476">
        <f t="shared" si="0"/>
        <v>0</v>
      </c>
      <c r="M55" s="485"/>
      <c r="N55" s="476">
        <f t="shared" si="1"/>
        <v>0</v>
      </c>
      <c r="O55" s="476">
        <f t="shared" si="2"/>
        <v>0</v>
      </c>
      <c r="P55" s="241"/>
    </row>
    <row r="56" spans="2:16">
      <c r="B56" s="160" t="str">
        <f t="shared" si="11"/>
        <v/>
      </c>
      <c r="C56" s="470">
        <f>IF(D11="","-",+C55+1)</f>
        <v>2061</v>
      </c>
      <c r="D56" s="481">
        <f>IF(F55+SUM(E$17:E55)=D$10,F55,D$10-SUM(E$17:E55))</f>
        <v>47.872483984613609</v>
      </c>
      <c r="E56" s="482">
        <f t="shared" si="12"/>
        <v>47.872483984613609</v>
      </c>
      <c r="F56" s="483">
        <f t="shared" si="13"/>
        <v>0</v>
      </c>
      <c r="G56" s="484">
        <f t="shared" si="14"/>
        <v>50.594996638769018</v>
      </c>
      <c r="H56" s="453">
        <f t="shared" si="15"/>
        <v>50.594996638769018</v>
      </c>
      <c r="I56" s="473">
        <f t="shared" si="16"/>
        <v>0</v>
      </c>
      <c r="J56" s="473"/>
      <c r="K56" s="485"/>
      <c r="L56" s="476">
        <f t="shared" si="0"/>
        <v>0</v>
      </c>
      <c r="M56" s="485"/>
      <c r="N56" s="476">
        <f t="shared" si="1"/>
        <v>0</v>
      </c>
      <c r="O56" s="476">
        <f t="shared" si="2"/>
        <v>0</v>
      </c>
      <c r="P56" s="241"/>
    </row>
    <row r="57" spans="2:16">
      <c r="B57" s="160" t="str">
        <f t="shared" si="11"/>
        <v/>
      </c>
      <c r="C57" s="470">
        <f>IF(D11="","-",+C56+1)</f>
        <v>2062</v>
      </c>
      <c r="D57" s="481">
        <f>IF(F56+SUM(E$17:E56)=D$10,F56,D$10-SUM(E$17:E56))</f>
        <v>0</v>
      </c>
      <c r="E57" s="482">
        <f t="shared" si="12"/>
        <v>0</v>
      </c>
      <c r="F57" s="483">
        <f t="shared" si="13"/>
        <v>0</v>
      </c>
      <c r="G57" s="484">
        <f t="shared" si="14"/>
        <v>0</v>
      </c>
      <c r="H57" s="453">
        <f t="shared" si="15"/>
        <v>0</v>
      </c>
      <c r="I57" s="473">
        <f t="shared" si="16"/>
        <v>0</v>
      </c>
      <c r="J57" s="473"/>
      <c r="K57" s="485"/>
      <c r="L57" s="476">
        <f t="shared" si="0"/>
        <v>0</v>
      </c>
      <c r="M57" s="485"/>
      <c r="N57" s="476">
        <f t="shared" si="1"/>
        <v>0</v>
      </c>
      <c r="O57" s="476">
        <f t="shared" si="2"/>
        <v>0</v>
      </c>
      <c r="P57" s="241"/>
    </row>
    <row r="58" spans="2:16">
      <c r="B58" s="160" t="str">
        <f t="shared" si="11"/>
        <v/>
      </c>
      <c r="C58" s="470">
        <f>IF(D11="","-",+C57+1)</f>
        <v>2063</v>
      </c>
      <c r="D58" s="481">
        <f>IF(F57+SUM(E$17:E57)=D$10,F57,D$10-SUM(E$17:E57))</f>
        <v>0</v>
      </c>
      <c r="E58" s="482">
        <f t="shared" si="12"/>
        <v>0</v>
      </c>
      <c r="F58" s="483">
        <f t="shared" si="13"/>
        <v>0</v>
      </c>
      <c r="G58" s="484">
        <f t="shared" si="14"/>
        <v>0</v>
      </c>
      <c r="H58" s="453">
        <f t="shared" si="15"/>
        <v>0</v>
      </c>
      <c r="I58" s="473">
        <f t="shared" si="16"/>
        <v>0</v>
      </c>
      <c r="J58" s="473"/>
      <c r="K58" s="485"/>
      <c r="L58" s="476">
        <f t="shared" si="0"/>
        <v>0</v>
      </c>
      <c r="M58" s="485"/>
      <c r="N58" s="476">
        <f t="shared" si="1"/>
        <v>0</v>
      </c>
      <c r="O58" s="476">
        <f t="shared" si="2"/>
        <v>0</v>
      </c>
      <c r="P58" s="241"/>
    </row>
    <row r="59" spans="2:16">
      <c r="B59" s="160" t="str">
        <f t="shared" si="11"/>
        <v/>
      </c>
      <c r="C59" s="470">
        <f>IF(D11="","-",+C58+1)</f>
        <v>2064</v>
      </c>
      <c r="D59" s="481">
        <f>IF(F58+SUM(E$17:E58)=D$10,F58,D$10-SUM(E$17:E58))</f>
        <v>0</v>
      </c>
      <c r="E59" s="482">
        <f t="shared" si="12"/>
        <v>0</v>
      </c>
      <c r="F59" s="483">
        <f t="shared" si="13"/>
        <v>0</v>
      </c>
      <c r="G59" s="484">
        <f t="shared" si="14"/>
        <v>0</v>
      </c>
      <c r="H59" s="453">
        <f t="shared" si="15"/>
        <v>0</v>
      </c>
      <c r="I59" s="473">
        <f t="shared" si="16"/>
        <v>0</v>
      </c>
      <c r="J59" s="473"/>
      <c r="K59" s="485"/>
      <c r="L59" s="476">
        <f t="shared" si="0"/>
        <v>0</v>
      </c>
      <c r="M59" s="485"/>
      <c r="N59" s="476">
        <f t="shared" si="1"/>
        <v>0</v>
      </c>
      <c r="O59" s="476">
        <f t="shared" si="2"/>
        <v>0</v>
      </c>
      <c r="P59" s="241"/>
    </row>
    <row r="60" spans="2:16">
      <c r="B60" s="160" t="str">
        <f t="shared" si="11"/>
        <v/>
      </c>
      <c r="C60" s="470">
        <f>IF(D11="","-",+C59+1)</f>
        <v>2065</v>
      </c>
      <c r="D60" s="481">
        <f>IF(F59+SUM(E$17:E59)=D$10,F59,D$10-SUM(E$17:E59))</f>
        <v>0</v>
      </c>
      <c r="E60" s="482">
        <f t="shared" si="12"/>
        <v>0</v>
      </c>
      <c r="F60" s="483">
        <f t="shared" si="13"/>
        <v>0</v>
      </c>
      <c r="G60" s="484">
        <f t="shared" si="14"/>
        <v>0</v>
      </c>
      <c r="H60" s="453">
        <f t="shared" si="15"/>
        <v>0</v>
      </c>
      <c r="I60" s="473">
        <f t="shared" si="16"/>
        <v>0</v>
      </c>
      <c r="J60" s="473"/>
      <c r="K60" s="485"/>
      <c r="L60" s="476">
        <f t="shared" si="0"/>
        <v>0</v>
      </c>
      <c r="M60" s="485"/>
      <c r="N60" s="476">
        <f t="shared" si="1"/>
        <v>0</v>
      </c>
      <c r="O60" s="476">
        <f t="shared" si="2"/>
        <v>0</v>
      </c>
      <c r="P60" s="241"/>
    </row>
    <row r="61" spans="2:16">
      <c r="B61" s="160" t="str">
        <f t="shared" si="11"/>
        <v/>
      </c>
      <c r="C61" s="470">
        <f>IF(D11="","-",+C60+1)</f>
        <v>2066</v>
      </c>
      <c r="D61" s="481">
        <f>IF(F60+SUM(E$17:E60)=D$10,F60,D$10-SUM(E$17:E60))</f>
        <v>0</v>
      </c>
      <c r="E61" s="482">
        <f t="shared" si="12"/>
        <v>0</v>
      </c>
      <c r="F61" s="483">
        <f t="shared" si="13"/>
        <v>0</v>
      </c>
      <c r="G61" s="484">
        <f t="shared" si="14"/>
        <v>0</v>
      </c>
      <c r="H61" s="453">
        <f t="shared" si="15"/>
        <v>0</v>
      </c>
      <c r="I61" s="473">
        <f t="shared" si="16"/>
        <v>0</v>
      </c>
      <c r="J61" s="473"/>
      <c r="K61" s="485"/>
      <c r="L61" s="476">
        <f t="shared" si="0"/>
        <v>0</v>
      </c>
      <c r="M61" s="485"/>
      <c r="N61" s="476">
        <f t="shared" si="1"/>
        <v>0</v>
      </c>
      <c r="O61" s="476">
        <f t="shared" si="2"/>
        <v>0</v>
      </c>
      <c r="P61" s="241"/>
    </row>
    <row r="62" spans="2:16">
      <c r="B62" s="160" t="str">
        <f t="shared" si="11"/>
        <v/>
      </c>
      <c r="C62" s="470">
        <f>IF(D11="","-",+C61+1)</f>
        <v>2067</v>
      </c>
      <c r="D62" s="481">
        <f>IF(F61+SUM(E$17:E61)=D$10,F61,D$10-SUM(E$17:E61))</f>
        <v>0</v>
      </c>
      <c r="E62" s="482">
        <f t="shared" si="12"/>
        <v>0</v>
      </c>
      <c r="F62" s="483">
        <f t="shared" si="13"/>
        <v>0</v>
      </c>
      <c r="G62" s="484">
        <f t="shared" si="14"/>
        <v>0</v>
      </c>
      <c r="H62" s="453">
        <f t="shared" si="15"/>
        <v>0</v>
      </c>
      <c r="I62" s="473">
        <f t="shared" si="16"/>
        <v>0</v>
      </c>
      <c r="J62" s="473"/>
      <c r="K62" s="485"/>
      <c r="L62" s="476">
        <f t="shared" si="0"/>
        <v>0</v>
      </c>
      <c r="M62" s="485"/>
      <c r="N62" s="476">
        <f t="shared" si="1"/>
        <v>0</v>
      </c>
      <c r="O62" s="476">
        <f t="shared" si="2"/>
        <v>0</v>
      </c>
      <c r="P62" s="241"/>
    </row>
    <row r="63" spans="2:16">
      <c r="B63" s="160" t="str">
        <f t="shared" si="11"/>
        <v/>
      </c>
      <c r="C63" s="470">
        <f>IF(D11="","-",+C62+1)</f>
        <v>2068</v>
      </c>
      <c r="D63" s="481">
        <f>IF(F62+SUM(E$17:E62)=D$10,F62,D$10-SUM(E$17:E62))</f>
        <v>0</v>
      </c>
      <c r="E63" s="482">
        <f t="shared" si="12"/>
        <v>0</v>
      </c>
      <c r="F63" s="483">
        <f t="shared" si="13"/>
        <v>0</v>
      </c>
      <c r="G63" s="484">
        <f t="shared" si="14"/>
        <v>0</v>
      </c>
      <c r="H63" s="453">
        <f t="shared" si="15"/>
        <v>0</v>
      </c>
      <c r="I63" s="473">
        <f t="shared" si="16"/>
        <v>0</v>
      </c>
      <c r="J63" s="473"/>
      <c r="K63" s="485"/>
      <c r="L63" s="476">
        <f t="shared" si="0"/>
        <v>0</v>
      </c>
      <c r="M63" s="485"/>
      <c r="N63" s="476">
        <f t="shared" si="1"/>
        <v>0</v>
      </c>
      <c r="O63" s="476">
        <f t="shared" si="2"/>
        <v>0</v>
      </c>
      <c r="P63" s="241"/>
    </row>
    <row r="64" spans="2:16">
      <c r="B64" s="160" t="str">
        <f t="shared" si="11"/>
        <v/>
      </c>
      <c r="C64" s="470">
        <f>IF(D11="","-",+C63+1)</f>
        <v>2069</v>
      </c>
      <c r="D64" s="481">
        <f>IF(F63+SUM(E$17:E63)=D$10,F63,D$10-SUM(E$17:E63))</f>
        <v>0</v>
      </c>
      <c r="E64" s="482">
        <f t="shared" si="12"/>
        <v>0</v>
      </c>
      <c r="F64" s="483">
        <f t="shared" si="13"/>
        <v>0</v>
      </c>
      <c r="G64" s="484">
        <f t="shared" si="14"/>
        <v>0</v>
      </c>
      <c r="H64" s="453">
        <f t="shared" si="15"/>
        <v>0</v>
      </c>
      <c r="I64" s="473">
        <f t="shared" si="16"/>
        <v>0</v>
      </c>
      <c r="J64" s="473"/>
      <c r="K64" s="485"/>
      <c r="L64" s="476">
        <f t="shared" si="0"/>
        <v>0</v>
      </c>
      <c r="M64" s="485"/>
      <c r="N64" s="476">
        <f t="shared" si="1"/>
        <v>0</v>
      </c>
      <c r="O64" s="476">
        <f t="shared" si="2"/>
        <v>0</v>
      </c>
      <c r="P64" s="241"/>
    </row>
    <row r="65" spans="2:16">
      <c r="B65" s="160" t="str">
        <f t="shared" si="11"/>
        <v/>
      </c>
      <c r="C65" s="470">
        <f>IF(D11="","-",+C64+1)</f>
        <v>2070</v>
      </c>
      <c r="D65" s="481">
        <f>IF(F64+SUM(E$17:E64)=D$10,F64,D$10-SUM(E$17:E64))</f>
        <v>0</v>
      </c>
      <c r="E65" s="482">
        <f t="shared" si="12"/>
        <v>0</v>
      </c>
      <c r="F65" s="483">
        <f t="shared" si="13"/>
        <v>0</v>
      </c>
      <c r="G65" s="484">
        <f t="shared" si="14"/>
        <v>0</v>
      </c>
      <c r="H65" s="453">
        <f t="shared" si="15"/>
        <v>0</v>
      </c>
      <c r="I65" s="473">
        <f t="shared" si="16"/>
        <v>0</v>
      </c>
      <c r="J65" s="473"/>
      <c r="K65" s="485"/>
      <c r="L65" s="476">
        <f t="shared" si="0"/>
        <v>0</v>
      </c>
      <c r="M65" s="485"/>
      <c r="N65" s="476">
        <f t="shared" si="1"/>
        <v>0</v>
      </c>
      <c r="O65" s="476">
        <f t="shared" si="2"/>
        <v>0</v>
      </c>
      <c r="P65" s="241"/>
    </row>
    <row r="66" spans="2:16">
      <c r="B66" s="160" t="str">
        <f t="shared" si="11"/>
        <v/>
      </c>
      <c r="C66" s="470">
        <f>IF(D11="","-",+C65+1)</f>
        <v>2071</v>
      </c>
      <c r="D66" s="481">
        <f>IF(F65+SUM(E$17:E65)=D$10,F65,D$10-SUM(E$17:E65))</f>
        <v>0</v>
      </c>
      <c r="E66" s="482">
        <f t="shared" si="12"/>
        <v>0</v>
      </c>
      <c r="F66" s="483">
        <f t="shared" si="13"/>
        <v>0</v>
      </c>
      <c r="G66" s="484">
        <f t="shared" si="14"/>
        <v>0</v>
      </c>
      <c r="H66" s="453">
        <f t="shared" si="15"/>
        <v>0</v>
      </c>
      <c r="I66" s="473">
        <f t="shared" si="16"/>
        <v>0</v>
      </c>
      <c r="J66" s="473"/>
      <c r="K66" s="485"/>
      <c r="L66" s="476">
        <f t="shared" si="0"/>
        <v>0</v>
      </c>
      <c r="M66" s="485"/>
      <c r="N66" s="476">
        <f t="shared" si="1"/>
        <v>0</v>
      </c>
      <c r="O66" s="476">
        <f t="shared" si="2"/>
        <v>0</v>
      </c>
      <c r="P66" s="241"/>
    </row>
    <row r="67" spans="2:16">
      <c r="B67" s="160" t="str">
        <f t="shared" si="11"/>
        <v/>
      </c>
      <c r="C67" s="470">
        <f>IF(D11="","-",+C66+1)</f>
        <v>2072</v>
      </c>
      <c r="D67" s="481">
        <f>IF(F66+SUM(E$17:E66)=D$10,F66,D$10-SUM(E$17:E66))</f>
        <v>0</v>
      </c>
      <c r="E67" s="482">
        <f t="shared" si="12"/>
        <v>0</v>
      </c>
      <c r="F67" s="483">
        <f t="shared" si="13"/>
        <v>0</v>
      </c>
      <c r="G67" s="484">
        <f t="shared" si="14"/>
        <v>0</v>
      </c>
      <c r="H67" s="453">
        <f t="shared" si="15"/>
        <v>0</v>
      </c>
      <c r="I67" s="473">
        <f t="shared" si="16"/>
        <v>0</v>
      </c>
      <c r="J67" s="473"/>
      <c r="K67" s="485"/>
      <c r="L67" s="476">
        <f t="shared" si="0"/>
        <v>0</v>
      </c>
      <c r="M67" s="485"/>
      <c r="N67" s="476">
        <f t="shared" si="1"/>
        <v>0</v>
      </c>
      <c r="O67" s="476">
        <f t="shared" si="2"/>
        <v>0</v>
      </c>
      <c r="P67" s="241"/>
    </row>
    <row r="68" spans="2:16">
      <c r="B68" s="160" t="str">
        <f t="shared" si="11"/>
        <v/>
      </c>
      <c r="C68" s="470">
        <f>IF(D11="","-",+C67+1)</f>
        <v>2073</v>
      </c>
      <c r="D68" s="481">
        <f>IF(F67+SUM(E$17:E67)=D$10,F67,D$10-SUM(E$17:E67))</f>
        <v>0</v>
      </c>
      <c r="E68" s="482">
        <f t="shared" si="12"/>
        <v>0</v>
      </c>
      <c r="F68" s="483">
        <f t="shared" si="13"/>
        <v>0</v>
      </c>
      <c r="G68" s="484">
        <f t="shared" si="14"/>
        <v>0</v>
      </c>
      <c r="H68" s="453">
        <f t="shared" si="15"/>
        <v>0</v>
      </c>
      <c r="I68" s="473">
        <f t="shared" si="16"/>
        <v>0</v>
      </c>
      <c r="J68" s="473"/>
      <c r="K68" s="485"/>
      <c r="L68" s="476">
        <f t="shared" si="0"/>
        <v>0</v>
      </c>
      <c r="M68" s="485"/>
      <c r="N68" s="476">
        <f t="shared" si="1"/>
        <v>0</v>
      </c>
      <c r="O68" s="476">
        <f t="shared" si="2"/>
        <v>0</v>
      </c>
      <c r="P68" s="241"/>
    </row>
    <row r="69" spans="2:16">
      <c r="B69" s="160" t="str">
        <f t="shared" si="11"/>
        <v/>
      </c>
      <c r="C69" s="470">
        <f>IF(D11="","-",+C68+1)</f>
        <v>2074</v>
      </c>
      <c r="D69" s="481">
        <f>IF(F68+SUM(E$17:E68)=D$10,F68,D$10-SUM(E$17:E68))</f>
        <v>0</v>
      </c>
      <c r="E69" s="482">
        <f t="shared" si="12"/>
        <v>0</v>
      </c>
      <c r="F69" s="483">
        <f t="shared" si="13"/>
        <v>0</v>
      </c>
      <c r="G69" s="484">
        <f t="shared" si="14"/>
        <v>0</v>
      </c>
      <c r="H69" s="453">
        <f t="shared" si="15"/>
        <v>0</v>
      </c>
      <c r="I69" s="473">
        <f t="shared" si="16"/>
        <v>0</v>
      </c>
      <c r="J69" s="473"/>
      <c r="K69" s="485"/>
      <c r="L69" s="476">
        <f t="shared" si="0"/>
        <v>0</v>
      </c>
      <c r="M69" s="485"/>
      <c r="N69" s="476">
        <f t="shared" si="1"/>
        <v>0</v>
      </c>
      <c r="O69" s="476">
        <f t="shared" si="2"/>
        <v>0</v>
      </c>
      <c r="P69" s="241"/>
    </row>
    <row r="70" spans="2:16">
      <c r="B70" s="160" t="str">
        <f t="shared" si="11"/>
        <v/>
      </c>
      <c r="C70" s="470">
        <f>IF(D11="","-",+C69+1)</f>
        <v>2075</v>
      </c>
      <c r="D70" s="481">
        <f>IF(F69+SUM(E$17:E69)=D$10,F69,D$10-SUM(E$17:E69))</f>
        <v>0</v>
      </c>
      <c r="E70" s="482">
        <f t="shared" si="12"/>
        <v>0</v>
      </c>
      <c r="F70" s="483">
        <f t="shared" si="13"/>
        <v>0</v>
      </c>
      <c r="G70" s="484">
        <f t="shared" si="14"/>
        <v>0</v>
      </c>
      <c r="H70" s="453">
        <f t="shared" si="15"/>
        <v>0</v>
      </c>
      <c r="I70" s="473">
        <f t="shared" si="16"/>
        <v>0</v>
      </c>
      <c r="J70" s="473"/>
      <c r="K70" s="485"/>
      <c r="L70" s="476">
        <f t="shared" si="0"/>
        <v>0</v>
      </c>
      <c r="M70" s="485"/>
      <c r="N70" s="476">
        <f t="shared" si="1"/>
        <v>0</v>
      </c>
      <c r="O70" s="476">
        <f t="shared" si="2"/>
        <v>0</v>
      </c>
      <c r="P70" s="241"/>
    </row>
    <row r="71" spans="2:16">
      <c r="B71" s="160" t="str">
        <f t="shared" si="11"/>
        <v/>
      </c>
      <c r="C71" s="470">
        <f>IF(D11="","-",+C70+1)</f>
        <v>2076</v>
      </c>
      <c r="D71" s="481">
        <f>IF(F70+SUM(E$17:E70)=D$10,F70,D$10-SUM(E$17:E70))</f>
        <v>0</v>
      </c>
      <c r="E71" s="482">
        <f t="shared" si="12"/>
        <v>0</v>
      </c>
      <c r="F71" s="483">
        <f t="shared" si="13"/>
        <v>0</v>
      </c>
      <c r="G71" s="484">
        <f t="shared" si="14"/>
        <v>0</v>
      </c>
      <c r="H71" s="453">
        <f t="shared" si="15"/>
        <v>0</v>
      </c>
      <c r="I71" s="473">
        <f t="shared" si="16"/>
        <v>0</v>
      </c>
      <c r="J71" s="473"/>
      <c r="K71" s="485"/>
      <c r="L71" s="476">
        <f t="shared" si="0"/>
        <v>0</v>
      </c>
      <c r="M71" s="485"/>
      <c r="N71" s="476">
        <f t="shared" si="1"/>
        <v>0</v>
      </c>
      <c r="O71" s="476">
        <f t="shared" si="2"/>
        <v>0</v>
      </c>
      <c r="P71" s="241"/>
    </row>
    <row r="72" spans="2:16" ht="13.5" thickBot="1">
      <c r="B72" s="160" t="str">
        <f t="shared" si="11"/>
        <v/>
      </c>
      <c r="C72" s="487">
        <f>IF(D11="","-",+C71+1)</f>
        <v>2077</v>
      </c>
      <c r="D72" s="610">
        <f>IF(F71+SUM(E$17:E71)=D$10,F71,D$10-SUM(E$17:E71))</f>
        <v>0</v>
      </c>
      <c r="E72" s="489">
        <f>IF(+I$14&lt;F71,I$14,D72)</f>
        <v>0</v>
      </c>
      <c r="F72" s="488">
        <f>+D72-E72</f>
        <v>0</v>
      </c>
      <c r="G72" s="542">
        <f>(D72+F72)/2*I$12+E72</f>
        <v>0</v>
      </c>
      <c r="H72" s="433">
        <f>+(D72+F72)/2*I$13+E72</f>
        <v>0</v>
      </c>
      <c r="I72" s="491">
        <f>H72-G72</f>
        <v>0</v>
      </c>
      <c r="J72" s="473"/>
      <c r="K72" s="492"/>
      <c r="L72" s="493">
        <f t="shared" si="0"/>
        <v>0</v>
      </c>
      <c r="M72" s="492"/>
      <c r="N72" s="493">
        <f t="shared" si="1"/>
        <v>0</v>
      </c>
      <c r="O72" s="493">
        <f t="shared" si="2"/>
        <v>0</v>
      </c>
      <c r="P72" s="241"/>
    </row>
    <row r="73" spans="2:16">
      <c r="C73" s="345" t="s">
        <v>77</v>
      </c>
      <c r="D73" s="346"/>
      <c r="E73" s="346">
        <f>SUM(E17:E72)</f>
        <v>70967.7</v>
      </c>
      <c r="F73" s="346"/>
      <c r="G73" s="346">
        <f>SUM(G17:G72)</f>
        <v>227958.23832689589</v>
      </c>
      <c r="H73" s="346">
        <f>SUM(H17:H72)</f>
        <v>227958.23832689589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14" t="str">
        <f ca="1">P1</f>
        <v>PSO Project 31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3024.2132561392209</v>
      </c>
      <c r="N87" s="506">
        <f>IF(J92&lt;D11,0,VLOOKUP(J92,C17:O72,11))</f>
        <v>3024.2132561392209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3825.5742462245234</v>
      </c>
      <c r="N88" s="510">
        <f>IF(J92&lt;D11,0,VLOOKUP(J92,C99:P154,7))</f>
        <v>3825.5742462245234</v>
      </c>
      <c r="O88" s="511">
        <f>+N88-M88</f>
        <v>0</v>
      </c>
      <c r="P88" s="231"/>
    </row>
    <row r="89" spans="1:16" ht="13.5" thickBot="1">
      <c r="C89" s="429" t="s">
        <v>92</v>
      </c>
      <c r="D89" s="517" t="str">
        <f>D7</f>
        <v>Pryor Junction 138/115 kV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801.36099008530255</v>
      </c>
      <c r="N89" s="515">
        <f>+N88-N87</f>
        <v>801.36099008530255</v>
      </c>
      <c r="O89" s="516">
        <f>+O88-O87</f>
        <v>0</v>
      </c>
      <c r="P89" s="231"/>
    </row>
    <row r="90" spans="1:16" ht="13.5" thickBot="1">
      <c r="C90" s="494"/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/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524">
        <v>0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f>+D11</f>
        <v>2022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3">
        <f>+D12</f>
        <v>6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0</v>
      </c>
      <c r="K96" s="346"/>
      <c r="L96" s="346"/>
      <c r="M96" s="346"/>
      <c r="N96" s="346"/>
      <c r="O96" s="346"/>
      <c r="P96" s="241"/>
    </row>
    <row r="97" spans="1:16" ht="38.25">
      <c r="A97" s="626"/>
      <c r="B97" s="626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61" t="s">
        <v>102</v>
      </c>
      <c r="M97" s="461" t="s">
        <v>99</v>
      </c>
      <c r="N97" s="461" t="s">
        <v>102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2022</v>
      </c>
      <c r="D99" s="63">
        <v>0</v>
      </c>
      <c r="E99" s="70">
        <v>0</v>
      </c>
      <c r="F99" s="68">
        <v>70968</v>
      </c>
      <c r="G99" s="97">
        <v>35484</v>
      </c>
      <c r="H99" s="97">
        <v>3825.5742462245234</v>
      </c>
      <c r="I99" s="97">
        <v>3825.5742462245234</v>
      </c>
      <c r="J99" s="67">
        <f>+I99-H99</f>
        <v>0</v>
      </c>
      <c r="K99" s="476"/>
      <c r="L99" s="475">
        <f>+H99</f>
        <v>3825.5742462245234</v>
      </c>
      <c r="M99" s="475">
        <f t="shared" ref="M99:M130" si="17">IF(L99&lt;&gt;0,+H99-L99,0)</f>
        <v>0</v>
      </c>
      <c r="N99" s="475">
        <f>+I99</f>
        <v>3825.5742462245234</v>
      </c>
      <c r="O99" s="475">
        <f t="shared" ref="O99:O130" si="18">IF(N99&lt;&gt;0,+I99-N99,0)</f>
        <v>0</v>
      </c>
      <c r="P99" s="475">
        <f t="shared" ref="P99:P130" si="19">+O99-M99</f>
        <v>0</v>
      </c>
    </row>
    <row r="100" spans="1:16">
      <c r="B100" s="160" t="str">
        <f>IF(D100=F99,"","IU")</f>
        <v>IU</v>
      </c>
      <c r="C100" s="470">
        <f>IF(D93="","-",+C99+1)</f>
        <v>2023</v>
      </c>
      <c r="D100" s="63">
        <f>IF(F99+SUM(E$99:E99)=D$92,F99,D$92-SUM(E$99:E99))</f>
        <v>0</v>
      </c>
      <c r="E100" s="69">
        <f>IF(+J$96&lt;F99,J$96,D100)</f>
        <v>0</v>
      </c>
      <c r="F100" s="68">
        <f>+D100-E100</f>
        <v>0</v>
      </c>
      <c r="G100" s="68">
        <f>+(F100+D100)/2</f>
        <v>0</v>
      </c>
      <c r="H100" s="130">
        <f t="shared" ref="H100:H154" si="20">+J$94*G100+E100</f>
        <v>0</v>
      </c>
      <c r="I100" s="139">
        <f t="shared" ref="I100:I154" si="21">+J$95*G100+E100</f>
        <v>0</v>
      </c>
      <c r="J100" s="67">
        <f t="shared" ref="J100:J130" si="22">+I100-H100</f>
        <v>0</v>
      </c>
      <c r="K100" s="476"/>
      <c r="L100" s="485"/>
      <c r="M100" s="476">
        <f t="shared" si="17"/>
        <v>0</v>
      </c>
      <c r="N100" s="485"/>
      <c r="O100" s="476">
        <f t="shared" si="18"/>
        <v>0</v>
      </c>
      <c r="P100" s="476">
        <f t="shared" si="19"/>
        <v>0</v>
      </c>
    </row>
    <row r="101" spans="1:16">
      <c r="B101" s="160" t="str">
        <f t="shared" ref="B101:B154" si="23">IF(D101=F100,"","IU")</f>
        <v/>
      </c>
      <c r="C101" s="470">
        <f>IF(D93="","-",+C100+1)</f>
        <v>2024</v>
      </c>
      <c r="D101" s="63">
        <f>IF(F100+SUM(E$99:E100)=D$92,F100,D$92-SUM(E$99:E100))</f>
        <v>0</v>
      </c>
      <c r="E101" s="69">
        <f t="shared" ref="E101:E154" si="24">IF(+J$96&lt;F100,J$96,D101)</f>
        <v>0</v>
      </c>
      <c r="F101" s="68">
        <f t="shared" ref="F101:F154" si="25">+D101-E101</f>
        <v>0</v>
      </c>
      <c r="G101" s="68">
        <f t="shared" ref="G101:G154" si="26">+(F101+D101)/2</f>
        <v>0</v>
      </c>
      <c r="H101" s="130">
        <f t="shared" si="20"/>
        <v>0</v>
      </c>
      <c r="I101" s="139">
        <f t="shared" si="21"/>
        <v>0</v>
      </c>
      <c r="J101" s="67">
        <f t="shared" si="22"/>
        <v>0</v>
      </c>
      <c r="K101" s="476"/>
      <c r="L101" s="485"/>
      <c r="M101" s="476">
        <f t="shared" si="17"/>
        <v>0</v>
      </c>
      <c r="N101" s="485"/>
      <c r="O101" s="476">
        <f t="shared" si="18"/>
        <v>0</v>
      </c>
      <c r="P101" s="476">
        <f t="shared" si="19"/>
        <v>0</v>
      </c>
    </row>
    <row r="102" spans="1:16">
      <c r="B102" s="160" t="str">
        <f t="shared" si="23"/>
        <v/>
      </c>
      <c r="C102" s="470">
        <f>IF(D93="","-",+C101+1)</f>
        <v>2025</v>
      </c>
      <c r="D102" s="63">
        <f>IF(F101+SUM(E$99:E101)=D$92,F101,D$92-SUM(E$99:E101))</f>
        <v>0</v>
      </c>
      <c r="E102" s="69">
        <f t="shared" si="24"/>
        <v>0</v>
      </c>
      <c r="F102" s="68">
        <f t="shared" si="25"/>
        <v>0</v>
      </c>
      <c r="G102" s="68">
        <f t="shared" si="26"/>
        <v>0</v>
      </c>
      <c r="H102" s="130">
        <f t="shared" si="20"/>
        <v>0</v>
      </c>
      <c r="I102" s="139">
        <f t="shared" si="21"/>
        <v>0</v>
      </c>
      <c r="J102" s="67">
        <f t="shared" si="22"/>
        <v>0</v>
      </c>
      <c r="K102" s="476"/>
      <c r="L102" s="485"/>
      <c r="M102" s="476">
        <f t="shared" si="17"/>
        <v>0</v>
      </c>
      <c r="N102" s="485"/>
      <c r="O102" s="476">
        <f t="shared" si="18"/>
        <v>0</v>
      </c>
      <c r="P102" s="476">
        <f t="shared" si="19"/>
        <v>0</v>
      </c>
    </row>
    <row r="103" spans="1:16">
      <c r="B103" s="160" t="str">
        <f t="shared" si="23"/>
        <v/>
      </c>
      <c r="C103" s="470">
        <f>IF(D93="","-",+C102+1)</f>
        <v>2026</v>
      </c>
      <c r="D103" s="63">
        <f>IF(F102+SUM(E$99:E102)=D$92,F102,D$92-SUM(E$99:E102))</f>
        <v>0</v>
      </c>
      <c r="E103" s="69">
        <f t="shared" si="24"/>
        <v>0</v>
      </c>
      <c r="F103" s="68">
        <f t="shared" si="25"/>
        <v>0</v>
      </c>
      <c r="G103" s="68">
        <f t="shared" si="26"/>
        <v>0</v>
      </c>
      <c r="H103" s="130">
        <f t="shared" si="20"/>
        <v>0</v>
      </c>
      <c r="I103" s="139">
        <f t="shared" si="21"/>
        <v>0</v>
      </c>
      <c r="J103" s="67">
        <f t="shared" si="22"/>
        <v>0</v>
      </c>
      <c r="K103" s="476"/>
      <c r="L103" s="485"/>
      <c r="M103" s="476">
        <f t="shared" si="17"/>
        <v>0</v>
      </c>
      <c r="N103" s="485"/>
      <c r="O103" s="476">
        <f t="shared" si="18"/>
        <v>0</v>
      </c>
      <c r="P103" s="476">
        <f t="shared" si="19"/>
        <v>0</v>
      </c>
    </row>
    <row r="104" spans="1:16">
      <c r="B104" s="160" t="str">
        <f t="shared" si="23"/>
        <v/>
      </c>
      <c r="C104" s="470">
        <f>IF(D93="","-",+C103+1)</f>
        <v>2027</v>
      </c>
      <c r="D104" s="63">
        <f>IF(F103+SUM(E$99:E103)=D$92,F103,D$92-SUM(E$99:E103))</f>
        <v>0</v>
      </c>
      <c r="E104" s="69">
        <f t="shared" si="24"/>
        <v>0</v>
      </c>
      <c r="F104" s="68">
        <f t="shared" si="25"/>
        <v>0</v>
      </c>
      <c r="G104" s="68">
        <f t="shared" si="26"/>
        <v>0</v>
      </c>
      <c r="H104" s="130">
        <f t="shared" si="20"/>
        <v>0</v>
      </c>
      <c r="I104" s="139">
        <f t="shared" si="21"/>
        <v>0</v>
      </c>
      <c r="J104" s="67">
        <f t="shared" si="22"/>
        <v>0</v>
      </c>
      <c r="K104" s="476"/>
      <c r="L104" s="485"/>
      <c r="M104" s="476">
        <f t="shared" si="17"/>
        <v>0</v>
      </c>
      <c r="N104" s="485"/>
      <c r="O104" s="476">
        <f t="shared" si="18"/>
        <v>0</v>
      </c>
      <c r="P104" s="476">
        <f t="shared" si="19"/>
        <v>0</v>
      </c>
    </row>
    <row r="105" spans="1:16">
      <c r="B105" s="160" t="str">
        <f t="shared" si="23"/>
        <v/>
      </c>
      <c r="C105" s="470">
        <f>IF(D93="","-",+C104+1)</f>
        <v>2028</v>
      </c>
      <c r="D105" s="63">
        <f>IF(F104+SUM(E$99:E104)=D$92,F104,D$92-SUM(E$99:E104))</f>
        <v>0</v>
      </c>
      <c r="E105" s="69">
        <f t="shared" si="24"/>
        <v>0</v>
      </c>
      <c r="F105" s="68">
        <f t="shared" si="25"/>
        <v>0</v>
      </c>
      <c r="G105" s="68">
        <f t="shared" si="26"/>
        <v>0</v>
      </c>
      <c r="H105" s="130">
        <f t="shared" si="20"/>
        <v>0</v>
      </c>
      <c r="I105" s="139">
        <f t="shared" si="21"/>
        <v>0</v>
      </c>
      <c r="J105" s="67">
        <f t="shared" si="22"/>
        <v>0</v>
      </c>
      <c r="K105" s="476"/>
      <c r="L105" s="485"/>
      <c r="M105" s="476">
        <f t="shared" si="17"/>
        <v>0</v>
      </c>
      <c r="N105" s="485"/>
      <c r="O105" s="476">
        <f t="shared" si="18"/>
        <v>0</v>
      </c>
      <c r="P105" s="476">
        <f t="shared" si="19"/>
        <v>0</v>
      </c>
    </row>
    <row r="106" spans="1:16">
      <c r="B106" s="160" t="str">
        <f t="shared" si="23"/>
        <v/>
      </c>
      <c r="C106" s="470">
        <f>IF(D93="","-",+C105+1)</f>
        <v>2029</v>
      </c>
      <c r="D106" s="63">
        <f>IF(F105+SUM(E$99:E105)=D$92,F105,D$92-SUM(E$99:E105))</f>
        <v>0</v>
      </c>
      <c r="E106" s="69">
        <f t="shared" si="24"/>
        <v>0</v>
      </c>
      <c r="F106" s="68">
        <f t="shared" si="25"/>
        <v>0</v>
      </c>
      <c r="G106" s="68">
        <f t="shared" si="26"/>
        <v>0</v>
      </c>
      <c r="H106" s="130">
        <f t="shared" si="20"/>
        <v>0</v>
      </c>
      <c r="I106" s="139">
        <f t="shared" si="21"/>
        <v>0</v>
      </c>
      <c r="J106" s="67">
        <f t="shared" si="22"/>
        <v>0</v>
      </c>
      <c r="K106" s="476"/>
      <c r="L106" s="485"/>
      <c r="M106" s="476">
        <f t="shared" si="17"/>
        <v>0</v>
      </c>
      <c r="N106" s="485"/>
      <c r="O106" s="476">
        <f t="shared" si="18"/>
        <v>0</v>
      </c>
      <c r="P106" s="476">
        <f t="shared" si="19"/>
        <v>0</v>
      </c>
    </row>
    <row r="107" spans="1:16">
      <c r="B107" s="160" t="str">
        <f t="shared" si="23"/>
        <v/>
      </c>
      <c r="C107" s="470">
        <f>IF(D93="","-",+C106+1)</f>
        <v>2030</v>
      </c>
      <c r="D107" s="63">
        <f>IF(F106+SUM(E$99:E106)=D$92,F106,D$92-SUM(E$99:E106))</f>
        <v>0</v>
      </c>
      <c r="E107" s="69">
        <f t="shared" si="24"/>
        <v>0</v>
      </c>
      <c r="F107" s="68">
        <f t="shared" si="25"/>
        <v>0</v>
      </c>
      <c r="G107" s="68">
        <f t="shared" si="26"/>
        <v>0</v>
      </c>
      <c r="H107" s="130">
        <f t="shared" si="20"/>
        <v>0</v>
      </c>
      <c r="I107" s="139">
        <f t="shared" si="21"/>
        <v>0</v>
      </c>
      <c r="J107" s="67">
        <f t="shared" si="22"/>
        <v>0</v>
      </c>
      <c r="K107" s="476"/>
      <c r="L107" s="485"/>
      <c r="M107" s="476">
        <f t="shared" si="17"/>
        <v>0</v>
      </c>
      <c r="N107" s="485"/>
      <c r="O107" s="476">
        <f t="shared" si="18"/>
        <v>0</v>
      </c>
      <c r="P107" s="476">
        <f t="shared" si="19"/>
        <v>0</v>
      </c>
    </row>
    <row r="108" spans="1:16">
      <c r="B108" s="160" t="str">
        <f t="shared" si="23"/>
        <v/>
      </c>
      <c r="C108" s="470">
        <f>IF(D93="","-",+C107+1)</f>
        <v>2031</v>
      </c>
      <c r="D108" s="63">
        <f>IF(F107+SUM(E$99:E107)=D$92,F107,D$92-SUM(E$99:E107))</f>
        <v>0</v>
      </c>
      <c r="E108" s="69">
        <f t="shared" si="24"/>
        <v>0</v>
      </c>
      <c r="F108" s="68">
        <f t="shared" si="25"/>
        <v>0</v>
      </c>
      <c r="G108" s="68">
        <f t="shared" si="26"/>
        <v>0</v>
      </c>
      <c r="H108" s="130">
        <f t="shared" si="20"/>
        <v>0</v>
      </c>
      <c r="I108" s="139">
        <f t="shared" si="21"/>
        <v>0</v>
      </c>
      <c r="J108" s="67">
        <f t="shared" si="22"/>
        <v>0</v>
      </c>
      <c r="K108" s="476"/>
      <c r="L108" s="485"/>
      <c r="M108" s="476">
        <f t="shared" si="17"/>
        <v>0</v>
      </c>
      <c r="N108" s="485"/>
      <c r="O108" s="476">
        <f t="shared" si="18"/>
        <v>0</v>
      </c>
      <c r="P108" s="476">
        <f t="shared" si="19"/>
        <v>0</v>
      </c>
    </row>
    <row r="109" spans="1:16">
      <c r="B109" s="160" t="str">
        <f t="shared" si="23"/>
        <v/>
      </c>
      <c r="C109" s="470">
        <f>IF(D93="","-",+C108+1)</f>
        <v>2032</v>
      </c>
      <c r="D109" s="63">
        <f>IF(F108+SUM(E$99:E108)=D$92,F108,D$92-SUM(E$99:E108))</f>
        <v>0</v>
      </c>
      <c r="E109" s="69">
        <f t="shared" si="24"/>
        <v>0</v>
      </c>
      <c r="F109" s="68">
        <f t="shared" si="25"/>
        <v>0</v>
      </c>
      <c r="G109" s="68">
        <f t="shared" si="26"/>
        <v>0</v>
      </c>
      <c r="H109" s="130">
        <f t="shared" si="20"/>
        <v>0</v>
      </c>
      <c r="I109" s="139">
        <f t="shared" si="21"/>
        <v>0</v>
      </c>
      <c r="J109" s="67">
        <f t="shared" si="22"/>
        <v>0</v>
      </c>
      <c r="K109" s="476"/>
      <c r="L109" s="485"/>
      <c r="M109" s="476">
        <f t="shared" si="17"/>
        <v>0</v>
      </c>
      <c r="N109" s="485"/>
      <c r="O109" s="476">
        <f t="shared" si="18"/>
        <v>0</v>
      </c>
      <c r="P109" s="476">
        <f t="shared" si="19"/>
        <v>0</v>
      </c>
    </row>
    <row r="110" spans="1:16">
      <c r="B110" s="160" t="str">
        <f t="shared" si="23"/>
        <v/>
      </c>
      <c r="C110" s="470">
        <f>IF(D93="","-",+C109+1)</f>
        <v>2033</v>
      </c>
      <c r="D110" s="63">
        <f>IF(F109+SUM(E$99:E109)=D$92,F109,D$92-SUM(E$99:E109))</f>
        <v>0</v>
      </c>
      <c r="E110" s="69">
        <f t="shared" si="24"/>
        <v>0</v>
      </c>
      <c r="F110" s="68">
        <f t="shared" si="25"/>
        <v>0</v>
      </c>
      <c r="G110" s="68">
        <f t="shared" si="26"/>
        <v>0</v>
      </c>
      <c r="H110" s="130">
        <f t="shared" si="20"/>
        <v>0</v>
      </c>
      <c r="I110" s="139">
        <f t="shared" si="21"/>
        <v>0</v>
      </c>
      <c r="J110" s="67">
        <f t="shared" si="22"/>
        <v>0</v>
      </c>
      <c r="K110" s="476"/>
      <c r="L110" s="485"/>
      <c r="M110" s="476">
        <f t="shared" si="17"/>
        <v>0</v>
      </c>
      <c r="N110" s="485"/>
      <c r="O110" s="476">
        <f t="shared" si="18"/>
        <v>0</v>
      </c>
      <c r="P110" s="476">
        <f t="shared" si="19"/>
        <v>0</v>
      </c>
    </row>
    <row r="111" spans="1:16">
      <c r="B111" s="160" t="str">
        <f t="shared" si="23"/>
        <v/>
      </c>
      <c r="C111" s="470">
        <f>IF(D93="","-",+C110+1)</f>
        <v>2034</v>
      </c>
      <c r="D111" s="63">
        <f>IF(F110+SUM(E$99:E110)=D$92,F110,D$92-SUM(E$99:E110))</f>
        <v>0</v>
      </c>
      <c r="E111" s="69">
        <f t="shared" si="24"/>
        <v>0</v>
      </c>
      <c r="F111" s="68">
        <f t="shared" si="25"/>
        <v>0</v>
      </c>
      <c r="G111" s="68">
        <f t="shared" si="26"/>
        <v>0</v>
      </c>
      <c r="H111" s="130">
        <f t="shared" si="20"/>
        <v>0</v>
      </c>
      <c r="I111" s="139">
        <f t="shared" si="21"/>
        <v>0</v>
      </c>
      <c r="J111" s="67">
        <f t="shared" si="22"/>
        <v>0</v>
      </c>
      <c r="K111" s="476"/>
      <c r="L111" s="485"/>
      <c r="M111" s="476">
        <f t="shared" si="17"/>
        <v>0</v>
      </c>
      <c r="N111" s="485"/>
      <c r="O111" s="476">
        <f t="shared" si="18"/>
        <v>0</v>
      </c>
      <c r="P111" s="476">
        <f t="shared" si="19"/>
        <v>0</v>
      </c>
    </row>
    <row r="112" spans="1:16">
      <c r="B112" s="160" t="str">
        <f t="shared" si="23"/>
        <v/>
      </c>
      <c r="C112" s="470">
        <f>IF(D93="","-",+C111+1)</f>
        <v>2035</v>
      </c>
      <c r="D112" s="63">
        <f>IF(F111+SUM(E$99:E111)=D$92,F111,D$92-SUM(E$99:E111))</f>
        <v>0</v>
      </c>
      <c r="E112" s="69">
        <f t="shared" si="24"/>
        <v>0</v>
      </c>
      <c r="F112" s="68">
        <f t="shared" si="25"/>
        <v>0</v>
      </c>
      <c r="G112" s="68">
        <f t="shared" si="26"/>
        <v>0</v>
      </c>
      <c r="H112" s="130">
        <f t="shared" si="20"/>
        <v>0</v>
      </c>
      <c r="I112" s="139">
        <f t="shared" si="21"/>
        <v>0</v>
      </c>
      <c r="J112" s="67">
        <f t="shared" si="22"/>
        <v>0</v>
      </c>
      <c r="K112" s="476"/>
      <c r="L112" s="485"/>
      <c r="M112" s="476">
        <f t="shared" si="17"/>
        <v>0</v>
      </c>
      <c r="N112" s="485"/>
      <c r="O112" s="476">
        <f t="shared" si="18"/>
        <v>0</v>
      </c>
      <c r="P112" s="476">
        <f t="shared" si="19"/>
        <v>0</v>
      </c>
    </row>
    <row r="113" spans="2:16">
      <c r="B113" s="160" t="str">
        <f t="shared" si="23"/>
        <v/>
      </c>
      <c r="C113" s="470">
        <f>IF(D93="","-",+C112+1)</f>
        <v>2036</v>
      </c>
      <c r="D113" s="63">
        <f>IF(F112+SUM(E$99:E112)=D$92,F112,D$92-SUM(E$99:E112))</f>
        <v>0</v>
      </c>
      <c r="E113" s="69">
        <f t="shared" si="24"/>
        <v>0</v>
      </c>
      <c r="F113" s="68">
        <f t="shared" si="25"/>
        <v>0</v>
      </c>
      <c r="G113" s="68">
        <f t="shared" si="26"/>
        <v>0</v>
      </c>
      <c r="H113" s="130">
        <f t="shared" si="20"/>
        <v>0</v>
      </c>
      <c r="I113" s="139">
        <f t="shared" si="21"/>
        <v>0</v>
      </c>
      <c r="J113" s="67">
        <f t="shared" si="22"/>
        <v>0</v>
      </c>
      <c r="K113" s="476"/>
      <c r="L113" s="485"/>
      <c r="M113" s="476">
        <f t="shared" si="17"/>
        <v>0</v>
      </c>
      <c r="N113" s="485"/>
      <c r="O113" s="476">
        <f t="shared" si="18"/>
        <v>0</v>
      </c>
      <c r="P113" s="476">
        <f t="shared" si="19"/>
        <v>0</v>
      </c>
    </row>
    <row r="114" spans="2:16">
      <c r="B114" s="160" t="str">
        <f t="shared" si="23"/>
        <v/>
      </c>
      <c r="C114" s="470">
        <f>IF(D93="","-",+C113+1)</f>
        <v>2037</v>
      </c>
      <c r="D114" s="63">
        <f>IF(F113+SUM(E$99:E113)=D$92,F113,D$92-SUM(E$99:E113))</f>
        <v>0</v>
      </c>
      <c r="E114" s="69">
        <f t="shared" si="24"/>
        <v>0</v>
      </c>
      <c r="F114" s="68">
        <f t="shared" si="25"/>
        <v>0</v>
      </c>
      <c r="G114" s="68">
        <f t="shared" si="26"/>
        <v>0</v>
      </c>
      <c r="H114" s="130">
        <f t="shared" si="20"/>
        <v>0</v>
      </c>
      <c r="I114" s="139">
        <f t="shared" si="21"/>
        <v>0</v>
      </c>
      <c r="J114" s="67">
        <f t="shared" si="22"/>
        <v>0</v>
      </c>
      <c r="K114" s="476"/>
      <c r="L114" s="485"/>
      <c r="M114" s="476">
        <f t="shared" si="17"/>
        <v>0</v>
      </c>
      <c r="N114" s="485"/>
      <c r="O114" s="476">
        <f t="shared" si="18"/>
        <v>0</v>
      </c>
      <c r="P114" s="476">
        <f t="shared" si="19"/>
        <v>0</v>
      </c>
    </row>
    <row r="115" spans="2:16">
      <c r="B115" s="160" t="str">
        <f t="shared" si="23"/>
        <v/>
      </c>
      <c r="C115" s="470">
        <f>IF(D93="","-",+C114+1)</f>
        <v>2038</v>
      </c>
      <c r="D115" s="63">
        <f>IF(F114+SUM(E$99:E114)=D$92,F114,D$92-SUM(E$99:E114))</f>
        <v>0</v>
      </c>
      <c r="E115" s="69">
        <f t="shared" si="24"/>
        <v>0</v>
      </c>
      <c r="F115" s="68">
        <f t="shared" si="25"/>
        <v>0</v>
      </c>
      <c r="G115" s="68">
        <f t="shared" si="26"/>
        <v>0</v>
      </c>
      <c r="H115" s="130">
        <f t="shared" si="20"/>
        <v>0</v>
      </c>
      <c r="I115" s="139">
        <f t="shared" si="21"/>
        <v>0</v>
      </c>
      <c r="J115" s="67">
        <f t="shared" si="22"/>
        <v>0</v>
      </c>
      <c r="K115" s="476"/>
      <c r="L115" s="485"/>
      <c r="M115" s="476">
        <f t="shared" si="17"/>
        <v>0</v>
      </c>
      <c r="N115" s="485"/>
      <c r="O115" s="476">
        <f t="shared" si="18"/>
        <v>0</v>
      </c>
      <c r="P115" s="476">
        <f t="shared" si="19"/>
        <v>0</v>
      </c>
    </row>
    <row r="116" spans="2:16">
      <c r="B116" s="160" t="str">
        <f t="shared" si="23"/>
        <v/>
      </c>
      <c r="C116" s="470">
        <f>IF(D93="","-",+C115+1)</f>
        <v>2039</v>
      </c>
      <c r="D116" s="63">
        <f>IF(F115+SUM(E$99:E115)=D$92,F115,D$92-SUM(E$99:E115))</f>
        <v>0</v>
      </c>
      <c r="E116" s="69">
        <f t="shared" si="24"/>
        <v>0</v>
      </c>
      <c r="F116" s="68">
        <f t="shared" si="25"/>
        <v>0</v>
      </c>
      <c r="G116" s="68">
        <f t="shared" si="26"/>
        <v>0</v>
      </c>
      <c r="H116" s="130">
        <f t="shared" si="20"/>
        <v>0</v>
      </c>
      <c r="I116" s="139">
        <f t="shared" si="21"/>
        <v>0</v>
      </c>
      <c r="J116" s="67">
        <f t="shared" si="22"/>
        <v>0</v>
      </c>
      <c r="K116" s="476"/>
      <c r="L116" s="485"/>
      <c r="M116" s="476">
        <f t="shared" si="17"/>
        <v>0</v>
      </c>
      <c r="N116" s="485"/>
      <c r="O116" s="476">
        <f t="shared" si="18"/>
        <v>0</v>
      </c>
      <c r="P116" s="476">
        <f t="shared" si="19"/>
        <v>0</v>
      </c>
    </row>
    <row r="117" spans="2:16">
      <c r="B117" s="160" t="str">
        <f t="shared" si="23"/>
        <v/>
      </c>
      <c r="C117" s="470">
        <f>IF(D93="","-",+C116+1)</f>
        <v>2040</v>
      </c>
      <c r="D117" s="63">
        <f>IF(F116+SUM(E$99:E116)=D$92,F116,D$92-SUM(E$99:E116))</f>
        <v>0</v>
      </c>
      <c r="E117" s="69">
        <f t="shared" si="24"/>
        <v>0</v>
      </c>
      <c r="F117" s="68">
        <f t="shared" si="25"/>
        <v>0</v>
      </c>
      <c r="G117" s="68">
        <f t="shared" si="26"/>
        <v>0</v>
      </c>
      <c r="H117" s="130">
        <f t="shared" si="20"/>
        <v>0</v>
      </c>
      <c r="I117" s="139">
        <f t="shared" si="21"/>
        <v>0</v>
      </c>
      <c r="J117" s="67">
        <f t="shared" si="22"/>
        <v>0</v>
      </c>
      <c r="K117" s="476"/>
      <c r="L117" s="485"/>
      <c r="M117" s="476">
        <f t="shared" si="17"/>
        <v>0</v>
      </c>
      <c r="N117" s="485"/>
      <c r="O117" s="476">
        <f t="shared" si="18"/>
        <v>0</v>
      </c>
      <c r="P117" s="476">
        <f t="shared" si="19"/>
        <v>0</v>
      </c>
    </row>
    <row r="118" spans="2:16">
      <c r="B118" s="160" t="str">
        <f t="shared" si="23"/>
        <v/>
      </c>
      <c r="C118" s="470">
        <f>IF(D93="","-",+C117+1)</f>
        <v>2041</v>
      </c>
      <c r="D118" s="63">
        <f>IF(F117+SUM(E$99:E117)=D$92,F117,D$92-SUM(E$99:E117))</f>
        <v>0</v>
      </c>
      <c r="E118" s="69">
        <f t="shared" si="24"/>
        <v>0</v>
      </c>
      <c r="F118" s="68">
        <f t="shared" si="25"/>
        <v>0</v>
      </c>
      <c r="G118" s="68">
        <f t="shared" si="26"/>
        <v>0</v>
      </c>
      <c r="H118" s="130">
        <f t="shared" si="20"/>
        <v>0</v>
      </c>
      <c r="I118" s="139">
        <f t="shared" si="21"/>
        <v>0</v>
      </c>
      <c r="J118" s="67">
        <f t="shared" si="22"/>
        <v>0</v>
      </c>
      <c r="K118" s="476"/>
      <c r="L118" s="485"/>
      <c r="M118" s="476">
        <f t="shared" si="17"/>
        <v>0</v>
      </c>
      <c r="N118" s="485"/>
      <c r="O118" s="476">
        <f t="shared" si="18"/>
        <v>0</v>
      </c>
      <c r="P118" s="476">
        <f t="shared" si="19"/>
        <v>0</v>
      </c>
    </row>
    <row r="119" spans="2:16">
      <c r="B119" s="160" t="str">
        <f t="shared" si="23"/>
        <v/>
      </c>
      <c r="C119" s="470">
        <f>IF(D93="","-",+C118+1)</f>
        <v>2042</v>
      </c>
      <c r="D119" s="63">
        <f>IF(F118+SUM(E$99:E118)=D$92,F118,D$92-SUM(E$99:E118))</f>
        <v>0</v>
      </c>
      <c r="E119" s="69">
        <f t="shared" si="24"/>
        <v>0</v>
      </c>
      <c r="F119" s="68">
        <f t="shared" si="25"/>
        <v>0</v>
      </c>
      <c r="G119" s="68">
        <f t="shared" si="26"/>
        <v>0</v>
      </c>
      <c r="H119" s="130">
        <f t="shared" si="20"/>
        <v>0</v>
      </c>
      <c r="I119" s="139">
        <f t="shared" si="21"/>
        <v>0</v>
      </c>
      <c r="J119" s="67">
        <f t="shared" si="22"/>
        <v>0</v>
      </c>
      <c r="K119" s="476"/>
      <c r="L119" s="485"/>
      <c r="M119" s="476">
        <f t="shared" si="17"/>
        <v>0</v>
      </c>
      <c r="N119" s="485"/>
      <c r="O119" s="476">
        <f t="shared" si="18"/>
        <v>0</v>
      </c>
      <c r="P119" s="476">
        <f t="shared" si="19"/>
        <v>0</v>
      </c>
    </row>
    <row r="120" spans="2:16">
      <c r="B120" s="160" t="str">
        <f t="shared" si="23"/>
        <v/>
      </c>
      <c r="C120" s="470">
        <f>IF(D93="","-",+C119+1)</f>
        <v>2043</v>
      </c>
      <c r="D120" s="63">
        <f>IF(F119+SUM(E$99:E119)=D$92,F119,D$92-SUM(E$99:E119))</f>
        <v>0</v>
      </c>
      <c r="E120" s="69">
        <f t="shared" si="24"/>
        <v>0</v>
      </c>
      <c r="F120" s="68">
        <f t="shared" si="25"/>
        <v>0</v>
      </c>
      <c r="G120" s="68">
        <f t="shared" si="26"/>
        <v>0</v>
      </c>
      <c r="H120" s="130">
        <f t="shared" si="20"/>
        <v>0</v>
      </c>
      <c r="I120" s="139">
        <f t="shared" si="21"/>
        <v>0</v>
      </c>
      <c r="J120" s="67">
        <f t="shared" si="22"/>
        <v>0</v>
      </c>
      <c r="K120" s="476"/>
      <c r="L120" s="485"/>
      <c r="M120" s="476">
        <f t="shared" si="17"/>
        <v>0</v>
      </c>
      <c r="N120" s="485"/>
      <c r="O120" s="476">
        <f t="shared" si="18"/>
        <v>0</v>
      </c>
      <c r="P120" s="476">
        <f t="shared" si="19"/>
        <v>0</v>
      </c>
    </row>
    <row r="121" spans="2:16">
      <c r="B121" s="160" t="str">
        <f t="shared" si="23"/>
        <v/>
      </c>
      <c r="C121" s="470">
        <f>IF(D93="","-",+C120+1)</f>
        <v>2044</v>
      </c>
      <c r="D121" s="63">
        <f>IF(F120+SUM(E$99:E120)=D$92,F120,D$92-SUM(E$99:E120))</f>
        <v>0</v>
      </c>
      <c r="E121" s="69">
        <f t="shared" si="24"/>
        <v>0</v>
      </c>
      <c r="F121" s="68">
        <f t="shared" si="25"/>
        <v>0</v>
      </c>
      <c r="G121" s="68">
        <f t="shared" si="26"/>
        <v>0</v>
      </c>
      <c r="H121" s="130">
        <f t="shared" si="20"/>
        <v>0</v>
      </c>
      <c r="I121" s="139">
        <f t="shared" si="21"/>
        <v>0</v>
      </c>
      <c r="J121" s="67">
        <f t="shared" si="22"/>
        <v>0</v>
      </c>
      <c r="K121" s="476"/>
      <c r="L121" s="485"/>
      <c r="M121" s="476">
        <f t="shared" si="17"/>
        <v>0</v>
      </c>
      <c r="N121" s="485"/>
      <c r="O121" s="476">
        <f t="shared" si="18"/>
        <v>0</v>
      </c>
      <c r="P121" s="476">
        <f t="shared" si="19"/>
        <v>0</v>
      </c>
    </row>
    <row r="122" spans="2:16">
      <c r="B122" s="160" t="str">
        <f t="shared" si="23"/>
        <v/>
      </c>
      <c r="C122" s="470">
        <f>IF(D93="","-",+C121+1)</f>
        <v>2045</v>
      </c>
      <c r="D122" s="63">
        <f>IF(F121+SUM(E$99:E121)=D$92,F121,D$92-SUM(E$99:E121))</f>
        <v>0</v>
      </c>
      <c r="E122" s="69">
        <f t="shared" si="24"/>
        <v>0</v>
      </c>
      <c r="F122" s="68">
        <f t="shared" si="25"/>
        <v>0</v>
      </c>
      <c r="G122" s="68">
        <f t="shared" si="26"/>
        <v>0</v>
      </c>
      <c r="H122" s="130">
        <f t="shared" si="20"/>
        <v>0</v>
      </c>
      <c r="I122" s="139">
        <f t="shared" si="21"/>
        <v>0</v>
      </c>
      <c r="J122" s="67">
        <f t="shared" si="22"/>
        <v>0</v>
      </c>
      <c r="K122" s="476"/>
      <c r="L122" s="485"/>
      <c r="M122" s="476">
        <f t="shared" si="17"/>
        <v>0</v>
      </c>
      <c r="N122" s="485"/>
      <c r="O122" s="476">
        <f t="shared" si="18"/>
        <v>0</v>
      </c>
      <c r="P122" s="476">
        <f t="shared" si="19"/>
        <v>0</v>
      </c>
    </row>
    <row r="123" spans="2:16">
      <c r="B123" s="160" t="str">
        <f t="shared" si="23"/>
        <v/>
      </c>
      <c r="C123" s="470">
        <f>IF(D93="","-",+C122+1)</f>
        <v>2046</v>
      </c>
      <c r="D123" s="63">
        <f>IF(F122+SUM(E$99:E122)=D$92,F122,D$92-SUM(E$99:E122))</f>
        <v>0</v>
      </c>
      <c r="E123" s="69">
        <f t="shared" si="24"/>
        <v>0</v>
      </c>
      <c r="F123" s="68">
        <f t="shared" si="25"/>
        <v>0</v>
      </c>
      <c r="G123" s="68">
        <f t="shared" si="26"/>
        <v>0</v>
      </c>
      <c r="H123" s="130">
        <f t="shared" si="20"/>
        <v>0</v>
      </c>
      <c r="I123" s="139">
        <f t="shared" si="21"/>
        <v>0</v>
      </c>
      <c r="J123" s="67">
        <f t="shared" si="22"/>
        <v>0</v>
      </c>
      <c r="K123" s="476"/>
      <c r="L123" s="485"/>
      <c r="M123" s="476">
        <f t="shared" si="17"/>
        <v>0</v>
      </c>
      <c r="N123" s="485"/>
      <c r="O123" s="476">
        <f t="shared" si="18"/>
        <v>0</v>
      </c>
      <c r="P123" s="476">
        <f t="shared" si="19"/>
        <v>0</v>
      </c>
    </row>
    <row r="124" spans="2:16">
      <c r="B124" s="160" t="str">
        <f t="shared" si="23"/>
        <v/>
      </c>
      <c r="C124" s="470">
        <f>IF(D93="","-",+C123+1)</f>
        <v>2047</v>
      </c>
      <c r="D124" s="63">
        <f>IF(F123+SUM(E$99:E123)=D$92,F123,D$92-SUM(E$99:E123))</f>
        <v>0</v>
      </c>
      <c r="E124" s="69">
        <f t="shared" si="24"/>
        <v>0</v>
      </c>
      <c r="F124" s="68">
        <f t="shared" si="25"/>
        <v>0</v>
      </c>
      <c r="G124" s="68">
        <f t="shared" si="26"/>
        <v>0</v>
      </c>
      <c r="H124" s="130">
        <f t="shared" si="20"/>
        <v>0</v>
      </c>
      <c r="I124" s="139">
        <f t="shared" si="21"/>
        <v>0</v>
      </c>
      <c r="J124" s="67">
        <f t="shared" si="22"/>
        <v>0</v>
      </c>
      <c r="K124" s="476"/>
      <c r="L124" s="485"/>
      <c r="M124" s="476">
        <f t="shared" si="17"/>
        <v>0</v>
      </c>
      <c r="N124" s="485"/>
      <c r="O124" s="476">
        <f t="shared" si="18"/>
        <v>0</v>
      </c>
      <c r="P124" s="476">
        <f t="shared" si="19"/>
        <v>0</v>
      </c>
    </row>
    <row r="125" spans="2:16">
      <c r="B125" s="160" t="str">
        <f t="shared" si="23"/>
        <v/>
      </c>
      <c r="C125" s="470">
        <f>IF(D93="","-",+C124+1)</f>
        <v>2048</v>
      </c>
      <c r="D125" s="63">
        <f>IF(F124+SUM(E$99:E124)=D$92,F124,D$92-SUM(E$99:E124))</f>
        <v>0</v>
      </c>
      <c r="E125" s="69">
        <f t="shared" si="24"/>
        <v>0</v>
      </c>
      <c r="F125" s="68">
        <f t="shared" si="25"/>
        <v>0</v>
      </c>
      <c r="G125" s="68">
        <f t="shared" si="26"/>
        <v>0</v>
      </c>
      <c r="H125" s="130">
        <f t="shared" si="20"/>
        <v>0</v>
      </c>
      <c r="I125" s="139">
        <f t="shared" si="21"/>
        <v>0</v>
      </c>
      <c r="J125" s="67">
        <f t="shared" si="22"/>
        <v>0</v>
      </c>
      <c r="K125" s="476"/>
      <c r="L125" s="485"/>
      <c r="M125" s="476">
        <f t="shared" si="17"/>
        <v>0</v>
      </c>
      <c r="N125" s="485"/>
      <c r="O125" s="476">
        <f t="shared" si="18"/>
        <v>0</v>
      </c>
      <c r="P125" s="476">
        <f t="shared" si="19"/>
        <v>0</v>
      </c>
    </row>
    <row r="126" spans="2:16">
      <c r="B126" s="160" t="str">
        <f t="shared" si="23"/>
        <v/>
      </c>
      <c r="C126" s="470">
        <f>IF(D93="","-",+C125+1)</f>
        <v>2049</v>
      </c>
      <c r="D126" s="63">
        <f>IF(F125+SUM(E$99:E125)=D$92,F125,D$92-SUM(E$99:E125))</f>
        <v>0</v>
      </c>
      <c r="E126" s="69">
        <f t="shared" si="24"/>
        <v>0</v>
      </c>
      <c r="F126" s="68">
        <f t="shared" si="25"/>
        <v>0</v>
      </c>
      <c r="G126" s="68">
        <f t="shared" si="26"/>
        <v>0</v>
      </c>
      <c r="H126" s="130">
        <f t="shared" si="20"/>
        <v>0</v>
      </c>
      <c r="I126" s="139">
        <f t="shared" si="21"/>
        <v>0</v>
      </c>
      <c r="J126" s="67">
        <f t="shared" si="22"/>
        <v>0</v>
      </c>
      <c r="K126" s="476"/>
      <c r="L126" s="485"/>
      <c r="M126" s="476">
        <f t="shared" si="17"/>
        <v>0</v>
      </c>
      <c r="N126" s="485"/>
      <c r="O126" s="476">
        <f t="shared" si="18"/>
        <v>0</v>
      </c>
      <c r="P126" s="476">
        <f t="shared" si="19"/>
        <v>0</v>
      </c>
    </row>
    <row r="127" spans="2:16">
      <c r="B127" s="160" t="str">
        <f t="shared" si="23"/>
        <v/>
      </c>
      <c r="C127" s="470">
        <f>IF(D93="","-",+C126+1)</f>
        <v>2050</v>
      </c>
      <c r="D127" s="63">
        <f>IF(F126+SUM(E$99:E126)=D$92,F126,D$92-SUM(E$99:E126))</f>
        <v>0</v>
      </c>
      <c r="E127" s="69">
        <f t="shared" si="24"/>
        <v>0</v>
      </c>
      <c r="F127" s="68">
        <f t="shared" si="25"/>
        <v>0</v>
      </c>
      <c r="G127" s="68">
        <f t="shared" si="26"/>
        <v>0</v>
      </c>
      <c r="H127" s="130">
        <f t="shared" si="20"/>
        <v>0</v>
      </c>
      <c r="I127" s="139">
        <f t="shared" si="21"/>
        <v>0</v>
      </c>
      <c r="J127" s="67">
        <f t="shared" si="22"/>
        <v>0</v>
      </c>
      <c r="K127" s="476"/>
      <c r="L127" s="485"/>
      <c r="M127" s="476">
        <f t="shared" si="17"/>
        <v>0</v>
      </c>
      <c r="N127" s="485"/>
      <c r="O127" s="476">
        <f t="shared" si="18"/>
        <v>0</v>
      </c>
      <c r="P127" s="476">
        <f t="shared" si="19"/>
        <v>0</v>
      </c>
    </row>
    <row r="128" spans="2:16">
      <c r="B128" s="160" t="str">
        <f t="shared" si="23"/>
        <v/>
      </c>
      <c r="C128" s="470">
        <f>IF(D93="","-",+C127+1)</f>
        <v>2051</v>
      </c>
      <c r="D128" s="63">
        <f>IF(F127+SUM(E$99:E127)=D$92,F127,D$92-SUM(E$99:E127))</f>
        <v>0</v>
      </c>
      <c r="E128" s="69">
        <f t="shared" si="24"/>
        <v>0</v>
      </c>
      <c r="F128" s="68">
        <f t="shared" si="25"/>
        <v>0</v>
      </c>
      <c r="G128" s="68">
        <f t="shared" si="26"/>
        <v>0</v>
      </c>
      <c r="H128" s="130">
        <f t="shared" si="20"/>
        <v>0</v>
      </c>
      <c r="I128" s="139">
        <f t="shared" si="21"/>
        <v>0</v>
      </c>
      <c r="J128" s="67">
        <f t="shared" si="22"/>
        <v>0</v>
      </c>
      <c r="K128" s="476"/>
      <c r="L128" s="485"/>
      <c r="M128" s="476">
        <f t="shared" si="17"/>
        <v>0</v>
      </c>
      <c r="N128" s="485"/>
      <c r="O128" s="476">
        <f t="shared" si="18"/>
        <v>0</v>
      </c>
      <c r="P128" s="476">
        <f t="shared" si="19"/>
        <v>0</v>
      </c>
    </row>
    <row r="129" spans="2:16">
      <c r="B129" s="160" t="str">
        <f t="shared" si="23"/>
        <v/>
      </c>
      <c r="C129" s="470">
        <f>IF(D93="","-",+C128+1)</f>
        <v>2052</v>
      </c>
      <c r="D129" s="63">
        <f>IF(F128+SUM(E$99:E128)=D$92,F128,D$92-SUM(E$99:E128))</f>
        <v>0</v>
      </c>
      <c r="E129" s="69">
        <f t="shared" si="24"/>
        <v>0</v>
      </c>
      <c r="F129" s="68">
        <f t="shared" si="25"/>
        <v>0</v>
      </c>
      <c r="G129" s="68">
        <f t="shared" si="26"/>
        <v>0</v>
      </c>
      <c r="H129" s="130">
        <f t="shared" si="20"/>
        <v>0</v>
      </c>
      <c r="I129" s="139">
        <f t="shared" si="21"/>
        <v>0</v>
      </c>
      <c r="J129" s="67">
        <f t="shared" si="22"/>
        <v>0</v>
      </c>
      <c r="K129" s="476"/>
      <c r="L129" s="485"/>
      <c r="M129" s="476">
        <f t="shared" si="17"/>
        <v>0</v>
      </c>
      <c r="N129" s="485"/>
      <c r="O129" s="476">
        <f t="shared" si="18"/>
        <v>0</v>
      </c>
      <c r="P129" s="476">
        <f t="shared" si="19"/>
        <v>0</v>
      </c>
    </row>
    <row r="130" spans="2:16">
      <c r="B130" s="160" t="str">
        <f t="shared" si="23"/>
        <v/>
      </c>
      <c r="C130" s="470">
        <f>IF(D93="","-",+C129+1)</f>
        <v>2053</v>
      </c>
      <c r="D130" s="63">
        <f>IF(F129+SUM(E$99:E129)=D$92,F129,D$92-SUM(E$99:E129))</f>
        <v>0</v>
      </c>
      <c r="E130" s="69">
        <f t="shared" si="24"/>
        <v>0</v>
      </c>
      <c r="F130" s="68">
        <f t="shared" si="25"/>
        <v>0</v>
      </c>
      <c r="G130" s="68">
        <f t="shared" si="26"/>
        <v>0</v>
      </c>
      <c r="H130" s="130">
        <f t="shared" si="20"/>
        <v>0</v>
      </c>
      <c r="I130" s="139">
        <f t="shared" si="21"/>
        <v>0</v>
      </c>
      <c r="J130" s="67">
        <f t="shared" si="22"/>
        <v>0</v>
      </c>
      <c r="K130" s="476"/>
      <c r="L130" s="485"/>
      <c r="M130" s="476">
        <f t="shared" si="17"/>
        <v>0</v>
      </c>
      <c r="N130" s="485"/>
      <c r="O130" s="476">
        <f t="shared" si="18"/>
        <v>0</v>
      </c>
      <c r="P130" s="476">
        <f t="shared" si="19"/>
        <v>0</v>
      </c>
    </row>
    <row r="131" spans="2:16">
      <c r="B131" s="160" t="str">
        <f t="shared" si="23"/>
        <v/>
      </c>
      <c r="C131" s="470">
        <f>IF(D93="","-",+C130+1)</f>
        <v>2054</v>
      </c>
      <c r="D131" s="63">
        <f>IF(F130+SUM(E$99:E130)=D$92,F130,D$92-SUM(E$99:E130))</f>
        <v>0</v>
      </c>
      <c r="E131" s="69">
        <f t="shared" si="24"/>
        <v>0</v>
      </c>
      <c r="F131" s="68">
        <f t="shared" si="25"/>
        <v>0</v>
      </c>
      <c r="G131" s="68">
        <f t="shared" si="26"/>
        <v>0</v>
      </c>
      <c r="H131" s="130">
        <f t="shared" si="20"/>
        <v>0</v>
      </c>
      <c r="I131" s="139">
        <f t="shared" si="21"/>
        <v>0</v>
      </c>
      <c r="J131" s="67">
        <f t="shared" ref="J131:J154" si="27">+I541-H541</f>
        <v>0</v>
      </c>
      <c r="K131" s="476"/>
      <c r="L131" s="485"/>
      <c r="M131" s="476">
        <f t="shared" ref="M131:M154" si="28">IF(L541&lt;&gt;0,+H541-L541,0)</f>
        <v>0</v>
      </c>
      <c r="N131" s="485"/>
      <c r="O131" s="476">
        <f t="shared" ref="O131:O154" si="29">IF(N541&lt;&gt;0,+I541-N541,0)</f>
        <v>0</v>
      </c>
      <c r="P131" s="476">
        <f t="shared" ref="P131:P154" si="30">+O541-M541</f>
        <v>0</v>
      </c>
    </row>
    <row r="132" spans="2:16">
      <c r="B132" s="160" t="str">
        <f t="shared" si="23"/>
        <v/>
      </c>
      <c r="C132" s="470">
        <f>IF(D93="","-",+C131+1)</f>
        <v>2055</v>
      </c>
      <c r="D132" s="63">
        <f>IF(F131+SUM(E$99:E131)=D$92,F131,D$92-SUM(E$99:E131))</f>
        <v>0</v>
      </c>
      <c r="E132" s="69">
        <f t="shared" si="24"/>
        <v>0</v>
      </c>
      <c r="F132" s="68">
        <f t="shared" si="25"/>
        <v>0</v>
      </c>
      <c r="G132" s="68">
        <f t="shared" si="26"/>
        <v>0</v>
      </c>
      <c r="H132" s="130">
        <f t="shared" si="20"/>
        <v>0</v>
      </c>
      <c r="I132" s="139">
        <f t="shared" si="21"/>
        <v>0</v>
      </c>
      <c r="J132" s="67">
        <f t="shared" si="27"/>
        <v>0</v>
      </c>
      <c r="K132" s="476"/>
      <c r="L132" s="485"/>
      <c r="M132" s="476">
        <f t="shared" si="28"/>
        <v>0</v>
      </c>
      <c r="N132" s="485"/>
      <c r="O132" s="476">
        <f t="shared" si="29"/>
        <v>0</v>
      </c>
      <c r="P132" s="476">
        <f t="shared" si="30"/>
        <v>0</v>
      </c>
    </row>
    <row r="133" spans="2:16">
      <c r="B133" s="160" t="str">
        <f t="shared" si="23"/>
        <v/>
      </c>
      <c r="C133" s="470">
        <f>IF(D93="","-",+C132+1)</f>
        <v>2056</v>
      </c>
      <c r="D133" s="63">
        <f>IF(F132+SUM(E$99:E132)=D$92,F132,D$92-SUM(E$99:E132))</f>
        <v>0</v>
      </c>
      <c r="E133" s="69">
        <f t="shared" si="24"/>
        <v>0</v>
      </c>
      <c r="F133" s="68">
        <f t="shared" si="25"/>
        <v>0</v>
      </c>
      <c r="G133" s="68">
        <f t="shared" si="26"/>
        <v>0</v>
      </c>
      <c r="H133" s="130">
        <f t="shared" si="20"/>
        <v>0</v>
      </c>
      <c r="I133" s="139">
        <f t="shared" si="21"/>
        <v>0</v>
      </c>
      <c r="J133" s="67">
        <f t="shared" si="27"/>
        <v>0</v>
      </c>
      <c r="K133" s="476"/>
      <c r="L133" s="485"/>
      <c r="M133" s="476">
        <f t="shared" si="28"/>
        <v>0</v>
      </c>
      <c r="N133" s="485"/>
      <c r="O133" s="476">
        <f t="shared" si="29"/>
        <v>0</v>
      </c>
      <c r="P133" s="476">
        <f t="shared" si="30"/>
        <v>0</v>
      </c>
    </row>
    <row r="134" spans="2:16">
      <c r="B134" s="160" t="str">
        <f t="shared" si="23"/>
        <v/>
      </c>
      <c r="C134" s="470">
        <f>IF(D93="","-",+C133+1)</f>
        <v>2057</v>
      </c>
      <c r="D134" s="63">
        <f>IF(F133+SUM(E$99:E133)=D$92,F133,D$92-SUM(E$99:E133))</f>
        <v>0</v>
      </c>
      <c r="E134" s="69">
        <f t="shared" si="24"/>
        <v>0</v>
      </c>
      <c r="F134" s="68">
        <f t="shared" si="25"/>
        <v>0</v>
      </c>
      <c r="G134" s="68">
        <f t="shared" si="26"/>
        <v>0</v>
      </c>
      <c r="H134" s="130">
        <f t="shared" si="20"/>
        <v>0</v>
      </c>
      <c r="I134" s="139">
        <f t="shared" si="21"/>
        <v>0</v>
      </c>
      <c r="J134" s="67">
        <f t="shared" si="27"/>
        <v>0</v>
      </c>
      <c r="K134" s="476"/>
      <c r="L134" s="485"/>
      <c r="M134" s="476">
        <f t="shared" si="28"/>
        <v>0</v>
      </c>
      <c r="N134" s="485"/>
      <c r="O134" s="476">
        <f t="shared" si="29"/>
        <v>0</v>
      </c>
      <c r="P134" s="476">
        <f t="shared" si="30"/>
        <v>0</v>
      </c>
    </row>
    <row r="135" spans="2:16">
      <c r="B135" s="160" t="str">
        <f t="shared" si="23"/>
        <v/>
      </c>
      <c r="C135" s="470">
        <f>IF(D93="","-",+C134+1)</f>
        <v>2058</v>
      </c>
      <c r="D135" s="63">
        <f>IF(F134+SUM(E$99:E134)=D$92,F134,D$92-SUM(E$99:E134))</f>
        <v>0</v>
      </c>
      <c r="E135" s="69">
        <f t="shared" si="24"/>
        <v>0</v>
      </c>
      <c r="F135" s="68">
        <f t="shared" si="25"/>
        <v>0</v>
      </c>
      <c r="G135" s="68">
        <f t="shared" si="26"/>
        <v>0</v>
      </c>
      <c r="H135" s="130">
        <f t="shared" si="20"/>
        <v>0</v>
      </c>
      <c r="I135" s="139">
        <f t="shared" si="21"/>
        <v>0</v>
      </c>
      <c r="J135" s="67">
        <f t="shared" si="27"/>
        <v>0</v>
      </c>
      <c r="K135" s="476"/>
      <c r="L135" s="485"/>
      <c r="M135" s="476">
        <f t="shared" si="28"/>
        <v>0</v>
      </c>
      <c r="N135" s="485"/>
      <c r="O135" s="476">
        <f t="shared" si="29"/>
        <v>0</v>
      </c>
      <c r="P135" s="476">
        <f t="shared" si="30"/>
        <v>0</v>
      </c>
    </row>
    <row r="136" spans="2:16">
      <c r="B136" s="160" t="str">
        <f t="shared" si="23"/>
        <v/>
      </c>
      <c r="C136" s="470">
        <f>IF(D93="","-",+C135+1)</f>
        <v>2059</v>
      </c>
      <c r="D136" s="63">
        <f>IF(F135+SUM(E$99:E135)=D$92,F135,D$92-SUM(E$99:E135))</f>
        <v>0</v>
      </c>
      <c r="E136" s="69">
        <f t="shared" si="24"/>
        <v>0</v>
      </c>
      <c r="F136" s="68">
        <f t="shared" si="25"/>
        <v>0</v>
      </c>
      <c r="G136" s="68">
        <f t="shared" si="26"/>
        <v>0</v>
      </c>
      <c r="H136" s="130">
        <f t="shared" si="20"/>
        <v>0</v>
      </c>
      <c r="I136" s="139">
        <f t="shared" si="21"/>
        <v>0</v>
      </c>
      <c r="J136" s="67">
        <f t="shared" si="27"/>
        <v>0</v>
      </c>
      <c r="K136" s="476"/>
      <c r="L136" s="485"/>
      <c r="M136" s="476">
        <f t="shared" si="28"/>
        <v>0</v>
      </c>
      <c r="N136" s="485"/>
      <c r="O136" s="476">
        <f t="shared" si="29"/>
        <v>0</v>
      </c>
      <c r="P136" s="476">
        <f t="shared" si="30"/>
        <v>0</v>
      </c>
    </row>
    <row r="137" spans="2:16">
      <c r="B137" s="160" t="str">
        <f t="shared" si="23"/>
        <v/>
      </c>
      <c r="C137" s="470">
        <f>IF(D93="","-",+C136+1)</f>
        <v>2060</v>
      </c>
      <c r="D137" s="63">
        <f>IF(F136+SUM(E$99:E136)=D$92,F136,D$92-SUM(E$99:E136))</f>
        <v>0</v>
      </c>
      <c r="E137" s="69">
        <f t="shared" si="24"/>
        <v>0</v>
      </c>
      <c r="F137" s="68">
        <f t="shared" si="25"/>
        <v>0</v>
      </c>
      <c r="G137" s="68">
        <f t="shared" si="26"/>
        <v>0</v>
      </c>
      <c r="H137" s="130">
        <f t="shared" si="20"/>
        <v>0</v>
      </c>
      <c r="I137" s="139">
        <f t="shared" si="21"/>
        <v>0</v>
      </c>
      <c r="J137" s="67">
        <f t="shared" si="27"/>
        <v>0</v>
      </c>
      <c r="K137" s="476"/>
      <c r="L137" s="485"/>
      <c r="M137" s="476">
        <f t="shared" si="28"/>
        <v>0</v>
      </c>
      <c r="N137" s="485"/>
      <c r="O137" s="476">
        <f t="shared" si="29"/>
        <v>0</v>
      </c>
      <c r="P137" s="476">
        <f t="shared" si="30"/>
        <v>0</v>
      </c>
    </row>
    <row r="138" spans="2:16">
      <c r="B138" s="160" t="str">
        <f t="shared" si="23"/>
        <v/>
      </c>
      <c r="C138" s="470">
        <f>IF(D93="","-",+C137+1)</f>
        <v>2061</v>
      </c>
      <c r="D138" s="63">
        <f>IF(F137+SUM(E$99:E137)=D$92,F137,D$92-SUM(E$99:E137))</f>
        <v>0</v>
      </c>
      <c r="E138" s="69">
        <f t="shared" si="24"/>
        <v>0</v>
      </c>
      <c r="F138" s="68">
        <f t="shared" si="25"/>
        <v>0</v>
      </c>
      <c r="G138" s="68">
        <f t="shared" si="26"/>
        <v>0</v>
      </c>
      <c r="H138" s="130">
        <f t="shared" si="20"/>
        <v>0</v>
      </c>
      <c r="I138" s="139">
        <f t="shared" si="21"/>
        <v>0</v>
      </c>
      <c r="J138" s="67">
        <f t="shared" si="27"/>
        <v>0</v>
      </c>
      <c r="K138" s="476"/>
      <c r="L138" s="485"/>
      <c r="M138" s="476">
        <f t="shared" si="28"/>
        <v>0</v>
      </c>
      <c r="N138" s="485"/>
      <c r="O138" s="476">
        <f t="shared" si="29"/>
        <v>0</v>
      </c>
      <c r="P138" s="476">
        <f t="shared" si="30"/>
        <v>0</v>
      </c>
    </row>
    <row r="139" spans="2:16">
      <c r="B139" s="160" t="str">
        <f t="shared" si="23"/>
        <v/>
      </c>
      <c r="C139" s="470">
        <f>IF(D93="","-",+C138+1)</f>
        <v>2062</v>
      </c>
      <c r="D139" s="63">
        <f>IF(F138+SUM(E$99:E138)=D$92,F138,D$92-SUM(E$99:E138))</f>
        <v>0</v>
      </c>
      <c r="E139" s="69">
        <f t="shared" si="24"/>
        <v>0</v>
      </c>
      <c r="F139" s="68">
        <f t="shared" si="25"/>
        <v>0</v>
      </c>
      <c r="G139" s="68">
        <f t="shared" si="26"/>
        <v>0</v>
      </c>
      <c r="H139" s="130">
        <f t="shared" si="20"/>
        <v>0</v>
      </c>
      <c r="I139" s="139">
        <f t="shared" si="21"/>
        <v>0</v>
      </c>
      <c r="J139" s="67">
        <f t="shared" si="27"/>
        <v>0</v>
      </c>
      <c r="K139" s="476"/>
      <c r="L139" s="485"/>
      <c r="M139" s="476">
        <f t="shared" si="28"/>
        <v>0</v>
      </c>
      <c r="N139" s="485"/>
      <c r="O139" s="476">
        <f t="shared" si="29"/>
        <v>0</v>
      </c>
      <c r="P139" s="476">
        <f t="shared" si="30"/>
        <v>0</v>
      </c>
    </row>
    <row r="140" spans="2:16">
      <c r="B140" s="160" t="str">
        <f t="shared" si="23"/>
        <v/>
      </c>
      <c r="C140" s="470">
        <f>IF(D93="","-",+C139+1)</f>
        <v>2063</v>
      </c>
      <c r="D140" s="63">
        <f>IF(F139+SUM(E$99:E139)=D$92,F139,D$92-SUM(E$99:E139))</f>
        <v>0</v>
      </c>
      <c r="E140" s="69">
        <f t="shared" si="24"/>
        <v>0</v>
      </c>
      <c r="F140" s="68">
        <f t="shared" si="25"/>
        <v>0</v>
      </c>
      <c r="G140" s="68">
        <f t="shared" si="26"/>
        <v>0</v>
      </c>
      <c r="H140" s="130">
        <f t="shared" si="20"/>
        <v>0</v>
      </c>
      <c r="I140" s="139">
        <f t="shared" si="21"/>
        <v>0</v>
      </c>
      <c r="J140" s="67">
        <f t="shared" si="27"/>
        <v>0</v>
      </c>
      <c r="K140" s="476"/>
      <c r="L140" s="485"/>
      <c r="M140" s="476">
        <f t="shared" si="28"/>
        <v>0</v>
      </c>
      <c r="N140" s="485"/>
      <c r="O140" s="476">
        <f t="shared" si="29"/>
        <v>0</v>
      </c>
      <c r="P140" s="476">
        <f t="shared" si="30"/>
        <v>0</v>
      </c>
    </row>
    <row r="141" spans="2:16">
      <c r="B141" s="160" t="str">
        <f t="shared" si="23"/>
        <v/>
      </c>
      <c r="C141" s="470">
        <f>IF(D93="","-",+C140+1)</f>
        <v>2064</v>
      </c>
      <c r="D141" s="63">
        <f>IF(F140+SUM(E$99:E140)=D$92,F140,D$92-SUM(E$99:E140))</f>
        <v>0</v>
      </c>
      <c r="E141" s="69">
        <f t="shared" si="24"/>
        <v>0</v>
      </c>
      <c r="F141" s="68">
        <f t="shared" si="25"/>
        <v>0</v>
      </c>
      <c r="G141" s="68">
        <f t="shared" si="26"/>
        <v>0</v>
      </c>
      <c r="H141" s="130">
        <f t="shared" si="20"/>
        <v>0</v>
      </c>
      <c r="I141" s="139">
        <f t="shared" si="21"/>
        <v>0</v>
      </c>
      <c r="J141" s="67">
        <f t="shared" si="27"/>
        <v>0</v>
      </c>
      <c r="K141" s="476"/>
      <c r="L141" s="485"/>
      <c r="M141" s="476">
        <f t="shared" si="28"/>
        <v>0</v>
      </c>
      <c r="N141" s="485"/>
      <c r="O141" s="476">
        <f t="shared" si="29"/>
        <v>0</v>
      </c>
      <c r="P141" s="476">
        <f t="shared" si="30"/>
        <v>0</v>
      </c>
    </row>
    <row r="142" spans="2:16">
      <c r="B142" s="160" t="str">
        <f t="shared" si="23"/>
        <v/>
      </c>
      <c r="C142" s="470">
        <f>IF(D93="","-",+C141+1)</f>
        <v>2065</v>
      </c>
      <c r="D142" s="63">
        <f>IF(F141+SUM(E$99:E141)=D$92,F141,D$92-SUM(E$99:E141))</f>
        <v>0</v>
      </c>
      <c r="E142" s="69">
        <f t="shared" si="24"/>
        <v>0</v>
      </c>
      <c r="F142" s="68">
        <f t="shared" si="25"/>
        <v>0</v>
      </c>
      <c r="G142" s="68">
        <f t="shared" si="26"/>
        <v>0</v>
      </c>
      <c r="H142" s="130">
        <f t="shared" si="20"/>
        <v>0</v>
      </c>
      <c r="I142" s="139">
        <f t="shared" si="21"/>
        <v>0</v>
      </c>
      <c r="J142" s="67">
        <f t="shared" si="27"/>
        <v>0</v>
      </c>
      <c r="K142" s="476"/>
      <c r="L142" s="485"/>
      <c r="M142" s="476">
        <f t="shared" si="28"/>
        <v>0</v>
      </c>
      <c r="N142" s="485"/>
      <c r="O142" s="476">
        <f t="shared" si="29"/>
        <v>0</v>
      </c>
      <c r="P142" s="476">
        <f t="shared" si="30"/>
        <v>0</v>
      </c>
    </row>
    <row r="143" spans="2:16">
      <c r="B143" s="160" t="str">
        <f t="shared" si="23"/>
        <v/>
      </c>
      <c r="C143" s="470">
        <f>IF(D93="","-",+C142+1)</f>
        <v>2066</v>
      </c>
      <c r="D143" s="63">
        <f>IF(F142+SUM(E$99:E142)=D$92,F142,D$92-SUM(E$99:E142))</f>
        <v>0</v>
      </c>
      <c r="E143" s="69">
        <f t="shared" si="24"/>
        <v>0</v>
      </c>
      <c r="F143" s="68">
        <f t="shared" si="25"/>
        <v>0</v>
      </c>
      <c r="G143" s="68">
        <f t="shared" si="26"/>
        <v>0</v>
      </c>
      <c r="H143" s="130">
        <f t="shared" si="20"/>
        <v>0</v>
      </c>
      <c r="I143" s="139">
        <f t="shared" si="21"/>
        <v>0</v>
      </c>
      <c r="J143" s="67">
        <f t="shared" si="27"/>
        <v>0</v>
      </c>
      <c r="K143" s="476"/>
      <c r="L143" s="485"/>
      <c r="M143" s="476">
        <f t="shared" si="28"/>
        <v>0</v>
      </c>
      <c r="N143" s="485"/>
      <c r="O143" s="476">
        <f t="shared" si="29"/>
        <v>0</v>
      </c>
      <c r="P143" s="476">
        <f t="shared" si="30"/>
        <v>0</v>
      </c>
    </row>
    <row r="144" spans="2:16">
      <c r="B144" s="160" t="str">
        <f t="shared" si="23"/>
        <v/>
      </c>
      <c r="C144" s="470">
        <f>IF(D93="","-",+C143+1)</f>
        <v>2067</v>
      </c>
      <c r="D144" s="63">
        <f>IF(F143+SUM(E$99:E143)=D$92,F143,D$92-SUM(E$99:E143))</f>
        <v>0</v>
      </c>
      <c r="E144" s="69">
        <f t="shared" si="24"/>
        <v>0</v>
      </c>
      <c r="F144" s="68">
        <f t="shared" si="25"/>
        <v>0</v>
      </c>
      <c r="G144" s="68">
        <f t="shared" si="26"/>
        <v>0</v>
      </c>
      <c r="H144" s="130">
        <f t="shared" si="20"/>
        <v>0</v>
      </c>
      <c r="I144" s="139">
        <f t="shared" si="21"/>
        <v>0</v>
      </c>
      <c r="J144" s="67">
        <f t="shared" si="27"/>
        <v>0</v>
      </c>
      <c r="K144" s="476"/>
      <c r="L144" s="485"/>
      <c r="M144" s="476">
        <f t="shared" si="28"/>
        <v>0</v>
      </c>
      <c r="N144" s="485"/>
      <c r="O144" s="476">
        <f t="shared" si="29"/>
        <v>0</v>
      </c>
      <c r="P144" s="476">
        <f t="shared" si="30"/>
        <v>0</v>
      </c>
    </row>
    <row r="145" spans="2:16">
      <c r="B145" s="160" t="str">
        <f t="shared" si="23"/>
        <v/>
      </c>
      <c r="C145" s="470">
        <f>IF(D93="","-",+C144+1)</f>
        <v>2068</v>
      </c>
      <c r="D145" s="63">
        <f>IF(F144+SUM(E$99:E144)=D$92,F144,D$92-SUM(E$99:E144))</f>
        <v>0</v>
      </c>
      <c r="E145" s="69">
        <f t="shared" si="24"/>
        <v>0</v>
      </c>
      <c r="F145" s="68">
        <f t="shared" si="25"/>
        <v>0</v>
      </c>
      <c r="G145" s="68">
        <f t="shared" si="26"/>
        <v>0</v>
      </c>
      <c r="H145" s="130">
        <f t="shared" si="20"/>
        <v>0</v>
      </c>
      <c r="I145" s="139">
        <f t="shared" si="21"/>
        <v>0</v>
      </c>
      <c r="J145" s="67">
        <f t="shared" si="27"/>
        <v>0</v>
      </c>
      <c r="K145" s="476"/>
      <c r="L145" s="485"/>
      <c r="M145" s="476">
        <f t="shared" si="28"/>
        <v>0</v>
      </c>
      <c r="N145" s="485"/>
      <c r="O145" s="476">
        <f t="shared" si="29"/>
        <v>0</v>
      </c>
      <c r="P145" s="476">
        <f t="shared" si="30"/>
        <v>0</v>
      </c>
    </row>
    <row r="146" spans="2:16">
      <c r="B146" s="160" t="str">
        <f t="shared" si="23"/>
        <v/>
      </c>
      <c r="C146" s="470">
        <f>IF(D93="","-",+C145+1)</f>
        <v>2069</v>
      </c>
      <c r="D146" s="63">
        <f>IF(F145+SUM(E$99:E145)=D$92,F145,D$92-SUM(E$99:E145))</f>
        <v>0</v>
      </c>
      <c r="E146" s="69">
        <f t="shared" si="24"/>
        <v>0</v>
      </c>
      <c r="F146" s="68">
        <f t="shared" si="25"/>
        <v>0</v>
      </c>
      <c r="G146" s="68">
        <f t="shared" si="26"/>
        <v>0</v>
      </c>
      <c r="H146" s="130">
        <f t="shared" si="20"/>
        <v>0</v>
      </c>
      <c r="I146" s="139">
        <f t="shared" si="21"/>
        <v>0</v>
      </c>
      <c r="J146" s="67">
        <f t="shared" si="27"/>
        <v>0</v>
      </c>
      <c r="K146" s="476"/>
      <c r="L146" s="485"/>
      <c r="M146" s="476">
        <f t="shared" si="28"/>
        <v>0</v>
      </c>
      <c r="N146" s="485"/>
      <c r="O146" s="476">
        <f t="shared" si="29"/>
        <v>0</v>
      </c>
      <c r="P146" s="476">
        <f t="shared" si="30"/>
        <v>0</v>
      </c>
    </row>
    <row r="147" spans="2:16">
      <c r="B147" s="160" t="str">
        <f t="shared" si="23"/>
        <v/>
      </c>
      <c r="C147" s="470">
        <f>IF(D93="","-",+C146+1)</f>
        <v>2070</v>
      </c>
      <c r="D147" s="63">
        <f>IF(F146+SUM(E$99:E146)=D$92,F146,D$92-SUM(E$99:E146))</f>
        <v>0</v>
      </c>
      <c r="E147" s="69">
        <f t="shared" si="24"/>
        <v>0</v>
      </c>
      <c r="F147" s="68">
        <f t="shared" si="25"/>
        <v>0</v>
      </c>
      <c r="G147" s="68">
        <f t="shared" si="26"/>
        <v>0</v>
      </c>
      <c r="H147" s="130">
        <f t="shared" si="20"/>
        <v>0</v>
      </c>
      <c r="I147" s="139">
        <f t="shared" si="21"/>
        <v>0</v>
      </c>
      <c r="J147" s="67">
        <f t="shared" si="27"/>
        <v>0</v>
      </c>
      <c r="K147" s="476"/>
      <c r="L147" s="485"/>
      <c r="M147" s="476">
        <f t="shared" si="28"/>
        <v>0</v>
      </c>
      <c r="N147" s="485"/>
      <c r="O147" s="476">
        <f t="shared" si="29"/>
        <v>0</v>
      </c>
      <c r="P147" s="476">
        <f t="shared" si="30"/>
        <v>0</v>
      </c>
    </row>
    <row r="148" spans="2:16">
      <c r="B148" s="160" t="str">
        <f t="shared" si="23"/>
        <v/>
      </c>
      <c r="C148" s="470">
        <f>IF(D93="","-",+C147+1)</f>
        <v>2071</v>
      </c>
      <c r="D148" s="63">
        <f>IF(F147+SUM(E$99:E147)=D$92,F147,D$92-SUM(E$99:E147))</f>
        <v>0</v>
      </c>
      <c r="E148" s="69">
        <f t="shared" si="24"/>
        <v>0</v>
      </c>
      <c r="F148" s="68">
        <f t="shared" si="25"/>
        <v>0</v>
      </c>
      <c r="G148" s="68">
        <f t="shared" si="26"/>
        <v>0</v>
      </c>
      <c r="H148" s="130">
        <f t="shared" si="20"/>
        <v>0</v>
      </c>
      <c r="I148" s="139">
        <f t="shared" si="21"/>
        <v>0</v>
      </c>
      <c r="J148" s="67">
        <f t="shared" si="27"/>
        <v>0</v>
      </c>
      <c r="K148" s="476"/>
      <c r="L148" s="485"/>
      <c r="M148" s="476">
        <f t="shared" si="28"/>
        <v>0</v>
      </c>
      <c r="N148" s="485"/>
      <c r="O148" s="476">
        <f t="shared" si="29"/>
        <v>0</v>
      </c>
      <c r="P148" s="476">
        <f t="shared" si="30"/>
        <v>0</v>
      </c>
    </row>
    <row r="149" spans="2:16">
      <c r="B149" s="160" t="str">
        <f t="shared" si="23"/>
        <v/>
      </c>
      <c r="C149" s="470">
        <f>IF(D93="","-",+C148+1)</f>
        <v>2072</v>
      </c>
      <c r="D149" s="63">
        <f>IF(F148+SUM(E$99:E148)=D$92,F148,D$92-SUM(E$99:E148))</f>
        <v>0</v>
      </c>
      <c r="E149" s="69">
        <f t="shared" si="24"/>
        <v>0</v>
      </c>
      <c r="F149" s="68">
        <f t="shared" si="25"/>
        <v>0</v>
      </c>
      <c r="G149" s="68">
        <f t="shared" si="26"/>
        <v>0</v>
      </c>
      <c r="H149" s="130">
        <f t="shared" si="20"/>
        <v>0</v>
      </c>
      <c r="I149" s="139">
        <f t="shared" si="21"/>
        <v>0</v>
      </c>
      <c r="J149" s="67">
        <f t="shared" si="27"/>
        <v>0</v>
      </c>
      <c r="K149" s="476"/>
      <c r="L149" s="485"/>
      <c r="M149" s="476">
        <f t="shared" si="28"/>
        <v>0</v>
      </c>
      <c r="N149" s="485"/>
      <c r="O149" s="476">
        <f t="shared" si="29"/>
        <v>0</v>
      </c>
      <c r="P149" s="476">
        <f t="shared" si="30"/>
        <v>0</v>
      </c>
    </row>
    <row r="150" spans="2:16">
      <c r="B150" s="160" t="str">
        <f t="shared" si="23"/>
        <v/>
      </c>
      <c r="C150" s="470">
        <f>IF(D93="","-",+C149+1)</f>
        <v>2073</v>
      </c>
      <c r="D150" s="63">
        <f>IF(F149+SUM(E$99:E149)=D$92,F149,D$92-SUM(E$99:E149))</f>
        <v>0</v>
      </c>
      <c r="E150" s="69">
        <f t="shared" si="24"/>
        <v>0</v>
      </c>
      <c r="F150" s="68">
        <f t="shared" si="25"/>
        <v>0</v>
      </c>
      <c r="G150" s="68">
        <f t="shared" si="26"/>
        <v>0</v>
      </c>
      <c r="H150" s="130">
        <f t="shared" si="20"/>
        <v>0</v>
      </c>
      <c r="I150" s="139">
        <f t="shared" si="21"/>
        <v>0</v>
      </c>
      <c r="J150" s="67">
        <f t="shared" si="27"/>
        <v>0</v>
      </c>
      <c r="K150" s="476"/>
      <c r="L150" s="485"/>
      <c r="M150" s="476">
        <f t="shared" si="28"/>
        <v>0</v>
      </c>
      <c r="N150" s="485"/>
      <c r="O150" s="476">
        <f t="shared" si="29"/>
        <v>0</v>
      </c>
      <c r="P150" s="476">
        <f t="shared" si="30"/>
        <v>0</v>
      </c>
    </row>
    <row r="151" spans="2:16">
      <c r="B151" s="160" t="str">
        <f t="shared" si="23"/>
        <v/>
      </c>
      <c r="C151" s="470">
        <f>IF(D93="","-",+C150+1)</f>
        <v>2074</v>
      </c>
      <c r="D151" s="63">
        <f>IF(F150+SUM(E$99:E150)=D$92,F150,D$92-SUM(E$99:E150))</f>
        <v>0</v>
      </c>
      <c r="E151" s="69">
        <f t="shared" si="24"/>
        <v>0</v>
      </c>
      <c r="F151" s="68">
        <f t="shared" si="25"/>
        <v>0</v>
      </c>
      <c r="G151" s="68">
        <f t="shared" si="26"/>
        <v>0</v>
      </c>
      <c r="H151" s="130">
        <f t="shared" si="20"/>
        <v>0</v>
      </c>
      <c r="I151" s="139">
        <f t="shared" si="21"/>
        <v>0</v>
      </c>
      <c r="J151" s="67">
        <f t="shared" si="27"/>
        <v>0</v>
      </c>
      <c r="K151" s="476"/>
      <c r="L151" s="485"/>
      <c r="M151" s="476">
        <f t="shared" si="28"/>
        <v>0</v>
      </c>
      <c r="N151" s="485"/>
      <c r="O151" s="476">
        <f t="shared" si="29"/>
        <v>0</v>
      </c>
      <c r="P151" s="476">
        <f t="shared" si="30"/>
        <v>0</v>
      </c>
    </row>
    <row r="152" spans="2:16">
      <c r="B152" s="160" t="str">
        <f t="shared" si="23"/>
        <v/>
      </c>
      <c r="C152" s="470">
        <f>IF(D93="","-",+C151+1)</f>
        <v>2075</v>
      </c>
      <c r="D152" s="63">
        <f>IF(F151+SUM(E$99:E151)=D$92,F151,D$92-SUM(E$99:E151))</f>
        <v>0</v>
      </c>
      <c r="E152" s="69">
        <f t="shared" si="24"/>
        <v>0</v>
      </c>
      <c r="F152" s="68">
        <f t="shared" si="25"/>
        <v>0</v>
      </c>
      <c r="G152" s="68">
        <f t="shared" si="26"/>
        <v>0</v>
      </c>
      <c r="H152" s="130">
        <f t="shared" si="20"/>
        <v>0</v>
      </c>
      <c r="I152" s="139">
        <f t="shared" si="21"/>
        <v>0</v>
      </c>
      <c r="J152" s="67">
        <f t="shared" si="27"/>
        <v>0</v>
      </c>
      <c r="K152" s="476"/>
      <c r="L152" s="485"/>
      <c r="M152" s="476">
        <f t="shared" si="28"/>
        <v>0</v>
      </c>
      <c r="N152" s="485"/>
      <c r="O152" s="476">
        <f t="shared" si="29"/>
        <v>0</v>
      </c>
      <c r="P152" s="476">
        <f t="shared" si="30"/>
        <v>0</v>
      </c>
    </row>
    <row r="153" spans="2:16">
      <c r="B153" s="160" t="str">
        <f t="shared" si="23"/>
        <v/>
      </c>
      <c r="C153" s="470">
        <f>IF(D93="","-",+C152+1)</f>
        <v>2076</v>
      </c>
      <c r="D153" s="63">
        <f>IF(F152+SUM(E$99:E152)=D$92,F152,D$92-SUM(E$99:E152))</f>
        <v>0</v>
      </c>
      <c r="E153" s="69">
        <f t="shared" si="24"/>
        <v>0</v>
      </c>
      <c r="F153" s="68">
        <f t="shared" si="25"/>
        <v>0</v>
      </c>
      <c r="G153" s="68">
        <f t="shared" si="26"/>
        <v>0</v>
      </c>
      <c r="H153" s="130">
        <f t="shared" si="20"/>
        <v>0</v>
      </c>
      <c r="I153" s="139">
        <f t="shared" si="21"/>
        <v>0</v>
      </c>
      <c r="J153" s="67">
        <f t="shared" si="27"/>
        <v>0</v>
      </c>
      <c r="K153" s="476"/>
      <c r="L153" s="485"/>
      <c r="M153" s="476">
        <f t="shared" si="28"/>
        <v>0</v>
      </c>
      <c r="N153" s="485"/>
      <c r="O153" s="476">
        <f t="shared" si="29"/>
        <v>0</v>
      </c>
      <c r="P153" s="476">
        <f t="shared" si="30"/>
        <v>0</v>
      </c>
    </row>
    <row r="154" spans="2:16" ht="13.5" thickBot="1">
      <c r="B154" s="160" t="str">
        <f t="shared" si="23"/>
        <v/>
      </c>
      <c r="C154" s="487">
        <f>IF(D93="","-",+C153+1)</f>
        <v>2077</v>
      </c>
      <c r="D154" s="98">
        <f>IF(F153+SUM(E$99:E153)=D$92,F153,D$92-SUM(E$99:E153))</f>
        <v>0</v>
      </c>
      <c r="E154" s="74">
        <f t="shared" si="24"/>
        <v>0</v>
      </c>
      <c r="F154" s="73">
        <f t="shared" si="25"/>
        <v>0</v>
      </c>
      <c r="G154" s="73">
        <f t="shared" si="26"/>
        <v>0</v>
      </c>
      <c r="H154" s="140">
        <f t="shared" si="20"/>
        <v>0</v>
      </c>
      <c r="I154" s="141">
        <f t="shared" si="21"/>
        <v>0</v>
      </c>
      <c r="J154" s="76">
        <f t="shared" si="27"/>
        <v>0</v>
      </c>
      <c r="K154" s="476"/>
      <c r="L154" s="492"/>
      <c r="M154" s="493">
        <f t="shared" si="28"/>
        <v>0</v>
      </c>
      <c r="N154" s="492"/>
      <c r="O154" s="493">
        <f t="shared" si="29"/>
        <v>0</v>
      </c>
      <c r="P154" s="493">
        <f t="shared" si="30"/>
        <v>0</v>
      </c>
    </row>
    <row r="155" spans="2:16">
      <c r="C155" s="345" t="s">
        <v>77</v>
      </c>
      <c r="D155" s="346"/>
      <c r="E155" s="346">
        <f>SUM(E99:E154)</f>
        <v>0</v>
      </c>
      <c r="F155" s="346"/>
      <c r="G155" s="346"/>
      <c r="H155" s="346">
        <f>SUM(H99:H154)</f>
        <v>3825.5742462245234</v>
      </c>
      <c r="I155" s="346">
        <f>SUM(I99:I154)</f>
        <v>3825.5742462245234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148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conditionalFormatting sqref="C17:C72">
    <cfRule type="cellIs" dxfId="7" priority="1" stopIfTrue="1" operator="equal">
      <formula>$I$10</formula>
    </cfRule>
  </conditionalFormatting>
  <conditionalFormatting sqref="C99:C154">
    <cfRule type="cellIs" dxfId="6" priority="2" stopIfTrue="1" operator="equal">
      <formula>$J$92</formula>
    </cfRule>
  </conditionalFormatting>
  <pageMargins left="0.5" right="0.25" top="1" bottom="0.5" header="0.25" footer="0.5"/>
  <pageSetup scale="47" orientation="landscape" r:id="rId1"/>
  <headerFooter>
    <oddHeader xml:space="preserve">&amp;R&amp;18AEP - SPP Formula Rate
PSO TCOS - Worksheets F and G
Section IV -- (BPU Project Tables)
Page: &amp;P of &amp;N
</oddHeader>
    <oddFooter>&amp;L&amp;A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16151-5327-4DF2-B62C-3F4BB113576E}">
  <dimension ref="A1:P162"/>
  <sheetViews>
    <sheetView topLeftCell="A93" zoomScaleNormal="100" zoomScaleSheetLayoutView="78" workbookViewId="0">
      <selection activeCell="D9" sqref="D9:E9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110" t="s">
        <v>147</v>
      </c>
      <c r="B1" s="1"/>
      <c r="C1" s="10"/>
      <c r="D1" s="2"/>
      <c r="E1" s="1"/>
      <c r="F1" s="15"/>
      <c r="G1" s="1"/>
      <c r="H1" s="3"/>
      <c r="J1" s="7"/>
      <c r="K1" s="19"/>
      <c r="L1" s="19"/>
      <c r="M1" s="19"/>
      <c r="P1" s="415" t="str">
        <f ca="1">"PSO Project "&amp;RIGHT(MID(CELL("filename",$A$1),FIND("]",CELL("filename",$A$1))+1,256),2)&amp;" of "&amp;COUNT('P.001:P.xyz - blank'!$P$3)-1</f>
        <v>PSO Project 32 of 33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117" t="s">
        <v>150</v>
      </c>
    </row>
    <row r="3" spans="1:16" ht="18.75">
      <c r="B3" s="5" t="s">
        <v>42</v>
      </c>
      <c r="C3" s="14" t="s">
        <v>43</v>
      </c>
      <c r="D3" s="2"/>
      <c r="E3" s="1"/>
      <c r="F3" s="1"/>
      <c r="G3" s="1"/>
      <c r="H3" s="3"/>
      <c r="I3" s="3"/>
      <c r="J3" s="20"/>
      <c r="K3" s="3"/>
      <c r="L3" s="3"/>
      <c r="M3" s="3"/>
      <c r="N3" s="3"/>
      <c r="O3" s="1"/>
      <c r="P3" s="108">
        <v>1</v>
      </c>
    </row>
    <row r="4" spans="1:16" ht="15.75" thickBot="1">
      <c r="C4" s="13"/>
      <c r="D4" s="2"/>
      <c r="E4" s="1"/>
      <c r="F4" s="1"/>
      <c r="G4" s="1"/>
      <c r="H4" s="3"/>
      <c r="I4" s="3"/>
      <c r="J4" s="20"/>
      <c r="K4" s="3"/>
      <c r="L4" s="3"/>
      <c r="M4" s="3"/>
      <c r="N4" s="3"/>
      <c r="O4" s="1"/>
      <c r="P4" s="1"/>
    </row>
    <row r="5" spans="1:16" ht="15">
      <c r="C5" s="21" t="s">
        <v>44</v>
      </c>
      <c r="D5" s="2"/>
      <c r="E5" s="1"/>
      <c r="F5" s="1"/>
      <c r="G5" s="22"/>
      <c r="H5" s="1" t="s">
        <v>45</v>
      </c>
      <c r="I5" s="1"/>
      <c r="J5" s="4"/>
      <c r="K5" s="23" t="s">
        <v>284</v>
      </c>
      <c r="L5" s="24"/>
      <c r="M5" s="25"/>
      <c r="N5" s="26">
        <f>VLOOKUP(I10,C17:I72,5)</f>
        <v>222415.29712588375</v>
      </c>
      <c r="P5" s="1"/>
    </row>
    <row r="6" spans="1:16" ht="15.75">
      <c r="C6" s="8"/>
      <c r="D6" s="2"/>
      <c r="E6" s="1"/>
      <c r="F6" s="1"/>
      <c r="G6" s="1"/>
      <c r="H6" s="27"/>
      <c r="I6" s="27"/>
      <c r="J6" s="28"/>
      <c r="K6" s="29" t="s">
        <v>285</v>
      </c>
      <c r="L6" s="30"/>
      <c r="M6" s="4"/>
      <c r="N6" s="31">
        <f>VLOOKUP(I10,C17:I72,6)</f>
        <v>222415.29712588375</v>
      </c>
      <c r="O6" s="1"/>
      <c r="P6" s="1"/>
    </row>
    <row r="7" spans="1:16" ht="13.5" thickBot="1">
      <c r="C7" s="32" t="s">
        <v>46</v>
      </c>
      <c r="D7" s="104" t="s">
        <v>389</v>
      </c>
      <c r="E7" s="1"/>
      <c r="F7" s="1"/>
      <c r="G7" s="1"/>
      <c r="H7" s="3"/>
      <c r="I7" s="3"/>
      <c r="J7" s="20"/>
      <c r="K7" s="33" t="s">
        <v>47</v>
      </c>
      <c r="L7" s="34"/>
      <c r="M7" s="34"/>
      <c r="N7" s="35">
        <f>+N6-N5</f>
        <v>0</v>
      </c>
      <c r="O7" s="1"/>
      <c r="P7" s="1"/>
    </row>
    <row r="8" spans="1:16" ht="13.5" thickBot="1">
      <c r="C8" s="36"/>
      <c r="D8" s="114" t="str">
        <f>IF(D10&lt;100000,"DOES NOT MEET SPP $100,000 MINIMUM INVESTMENT FOR REGIONAL BPU SHARING.","")</f>
        <v/>
      </c>
      <c r="E8" s="37"/>
      <c r="F8" s="37"/>
      <c r="G8" s="37"/>
      <c r="H8" s="37"/>
      <c r="I8" s="37"/>
      <c r="J8" s="16"/>
      <c r="K8" s="37"/>
      <c r="L8" s="37"/>
      <c r="M8" s="37"/>
      <c r="N8" s="37"/>
      <c r="O8" s="16"/>
      <c r="P8" s="10"/>
    </row>
    <row r="9" spans="1:16" ht="13.5" thickBot="1">
      <c r="C9" s="38" t="s">
        <v>48</v>
      </c>
      <c r="D9" s="439" t="s">
        <v>382</v>
      </c>
      <c r="E9" s="621" t="s">
        <v>386</v>
      </c>
      <c r="F9" s="39"/>
      <c r="G9" s="39"/>
      <c r="H9" s="39"/>
      <c r="I9" s="40"/>
      <c r="J9" s="41"/>
      <c r="O9" s="42"/>
      <c r="P9" s="4"/>
    </row>
    <row r="10" spans="1:16">
      <c r="C10" s="145" t="s">
        <v>226</v>
      </c>
      <c r="D10" s="43">
        <v>3910936</v>
      </c>
      <c r="E10" s="12" t="s">
        <v>51</v>
      </c>
      <c r="F10" s="42"/>
      <c r="G10" s="44"/>
      <c r="H10" s="44"/>
      <c r="I10" s="45">
        <f>+'PSO.WS.F.BPU.ATRR.Projected'!L19</f>
        <v>2024</v>
      </c>
      <c r="J10" s="41"/>
      <c r="K10" s="20" t="s">
        <v>52</v>
      </c>
      <c r="O10" s="4"/>
      <c r="P10" s="4"/>
    </row>
    <row r="11" spans="1:16">
      <c r="C11" s="46" t="s">
        <v>53</v>
      </c>
      <c r="D11" s="47">
        <v>2024</v>
      </c>
      <c r="E11" s="46" t="s">
        <v>54</v>
      </c>
      <c r="F11" s="44"/>
      <c r="G11" s="7"/>
      <c r="H11" s="7"/>
      <c r="I11" s="48">
        <f>IF(G5="",0,'PSO.WS.F.BPU.ATRR.Projected'!F$13)</f>
        <v>0</v>
      </c>
      <c r="J11" s="49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46" t="s">
        <v>55</v>
      </c>
      <c r="D12" s="43">
        <v>12</v>
      </c>
      <c r="E12" s="46" t="s">
        <v>56</v>
      </c>
      <c r="F12" s="44"/>
      <c r="G12" s="7"/>
      <c r="H12" s="7"/>
      <c r="I12" s="50">
        <f>'PSO.WS.F.BPU.ATRR.Projected'!$F$81</f>
        <v>0.11374018757958901</v>
      </c>
      <c r="J12" s="51"/>
      <c r="K12" t="s">
        <v>57</v>
      </c>
      <c r="O12" s="4"/>
      <c r="P12" s="4"/>
    </row>
    <row r="13" spans="1:16">
      <c r="C13" s="46" t="s">
        <v>58</v>
      </c>
      <c r="D13" s="48">
        <f>+'PSO.WS.F.BPU.ATRR.Projected'!F$93</f>
        <v>38</v>
      </c>
      <c r="E13" s="46" t="s">
        <v>59</v>
      </c>
      <c r="F13" s="44"/>
      <c r="G13" s="7"/>
      <c r="H13" s="7"/>
      <c r="I13" s="50">
        <f>IF(G5="",I12,'PSO.WS.F.BPU.ATRR.Projected'!$F$80)</f>
        <v>0.11374018757958901</v>
      </c>
      <c r="J13" s="51"/>
      <c r="K13" s="20" t="s">
        <v>60</v>
      </c>
      <c r="L13" s="11"/>
      <c r="M13" s="11"/>
      <c r="N13" s="11"/>
      <c r="O13" s="4"/>
      <c r="P13" s="4"/>
    </row>
    <row r="14" spans="1:16" ht="13.5" thickBot="1">
      <c r="C14" s="46" t="s">
        <v>61</v>
      </c>
      <c r="D14" s="47" t="s">
        <v>62</v>
      </c>
      <c r="E14" s="4" t="s">
        <v>63</v>
      </c>
      <c r="F14" s="44"/>
      <c r="G14" s="7"/>
      <c r="H14" s="7"/>
      <c r="I14" s="52">
        <f>IF(D10=0,0,D10/D13)</f>
        <v>102919.36842105263</v>
      </c>
      <c r="J14" s="20"/>
      <c r="K14" s="20"/>
      <c r="L14" s="20"/>
      <c r="M14" s="20"/>
      <c r="N14" s="20"/>
      <c r="O14" s="4"/>
      <c r="P14" s="4"/>
    </row>
    <row r="15" spans="1:16" ht="38.25">
      <c r="C15" s="53" t="s">
        <v>50</v>
      </c>
      <c r="D15" s="54" t="s">
        <v>64</v>
      </c>
      <c r="E15" s="54" t="s">
        <v>65</v>
      </c>
      <c r="F15" s="54" t="s">
        <v>66</v>
      </c>
      <c r="G15" s="142" t="s">
        <v>286</v>
      </c>
      <c r="H15" s="143" t="s">
        <v>287</v>
      </c>
      <c r="I15" s="53" t="s">
        <v>67</v>
      </c>
      <c r="J15" s="55"/>
      <c r="K15" s="135" t="s">
        <v>205</v>
      </c>
      <c r="L15" s="136" t="s">
        <v>68</v>
      </c>
      <c r="M15" s="135" t="s">
        <v>205</v>
      </c>
      <c r="N15" s="136" t="s">
        <v>68</v>
      </c>
      <c r="O15" s="56" t="s">
        <v>69</v>
      </c>
      <c r="P15" s="4"/>
    </row>
    <row r="16" spans="1:16" ht="13.5" thickBot="1">
      <c r="C16" s="57" t="s">
        <v>70</v>
      </c>
      <c r="D16" s="57" t="s">
        <v>71</v>
      </c>
      <c r="E16" s="57" t="s">
        <v>72</v>
      </c>
      <c r="F16" s="57" t="s">
        <v>71</v>
      </c>
      <c r="G16" s="129" t="s">
        <v>73</v>
      </c>
      <c r="H16" s="58" t="s">
        <v>74</v>
      </c>
      <c r="I16" s="59" t="s">
        <v>104</v>
      </c>
      <c r="J16" s="60" t="s">
        <v>75</v>
      </c>
      <c r="K16" s="61" t="s">
        <v>76</v>
      </c>
      <c r="L16" s="137" t="s">
        <v>76</v>
      </c>
      <c r="M16" s="61" t="s">
        <v>105</v>
      </c>
      <c r="N16" s="138" t="s">
        <v>105</v>
      </c>
      <c r="O16" s="61" t="s">
        <v>105</v>
      </c>
      <c r="P16" s="4"/>
    </row>
    <row r="17" spans="2:16">
      <c r="B17" s="9"/>
      <c r="C17" s="62">
        <f>IF(D11= "","-",D11)</f>
        <v>2024</v>
      </c>
      <c r="D17" s="63">
        <v>0</v>
      </c>
      <c r="E17" s="64">
        <f>IF(D10&gt;=100000,I$14/12*(12-D12),0)</f>
        <v>0</v>
      </c>
      <c r="F17" s="68">
        <f>IF(D11=C17,+D10-E17,+D17-E17)</f>
        <v>3910936</v>
      </c>
      <c r="G17" s="64">
        <f>(D17+F17)/2*I$12+E17</f>
        <v>222415.29712588375</v>
      </c>
      <c r="H17" s="52">
        <f>+(D17+F17)/2*I$13+E17</f>
        <v>222415.29712588375</v>
      </c>
      <c r="I17" s="65">
        <f>H17-G17</f>
        <v>0</v>
      </c>
      <c r="J17" s="65"/>
      <c r="K17" s="134"/>
      <c r="L17" s="66">
        <f t="shared" ref="L17:L72" si="0">IF(K17&lt;&gt;0,+G17-K17,0)</f>
        <v>0</v>
      </c>
      <c r="M17" s="134"/>
      <c r="N17" s="66">
        <f t="shared" ref="N17:N72" si="1">IF(M17&lt;&gt;0,+H17-M17,0)</f>
        <v>0</v>
      </c>
      <c r="O17" s="67">
        <f t="shared" ref="O17:O72" si="2">+N17-L17</f>
        <v>0</v>
      </c>
      <c r="P17" s="4"/>
    </row>
    <row r="18" spans="2:16">
      <c r="B18" s="9" t="str">
        <f>IF(D18=F17,"","IU")</f>
        <v/>
      </c>
      <c r="C18" s="62">
        <f>IF(D11="","-",+C17+1)</f>
        <v>2025</v>
      </c>
      <c r="D18" s="71">
        <f>IF(F17+SUM(E$17:E17)=D$10,F17,D$10-SUM(E$17:E17))</f>
        <v>3910936</v>
      </c>
      <c r="E18" s="69">
        <f>IF(+I$14&lt;F17,I$14,D18)</f>
        <v>102919.36842105263</v>
      </c>
      <c r="F18" s="68">
        <f>+D18-E18</f>
        <v>3808016.6315789474</v>
      </c>
      <c r="G18" s="70">
        <f>(D18+F18)/2*I$12+E18</f>
        <v>541896.9285379285</v>
      </c>
      <c r="H18" s="52">
        <f>+(D18+F18)/2*I$13+E18</f>
        <v>541896.9285379285</v>
      </c>
      <c r="I18" s="65">
        <f>H18-G18</f>
        <v>0</v>
      </c>
      <c r="J18" s="65"/>
      <c r="K18" s="132"/>
      <c r="L18" s="67">
        <f t="shared" si="0"/>
        <v>0</v>
      </c>
      <c r="M18" s="132"/>
      <c r="N18" s="67">
        <f t="shared" si="1"/>
        <v>0</v>
      </c>
      <c r="O18" s="67">
        <f t="shared" si="2"/>
        <v>0</v>
      </c>
      <c r="P18" s="4"/>
    </row>
    <row r="19" spans="2:16">
      <c r="B19" s="9" t="str">
        <f>IF(D19=F18,"","IU")</f>
        <v/>
      </c>
      <c r="C19" s="62">
        <f>IF(D11="","-",+C18+1)</f>
        <v>2026</v>
      </c>
      <c r="D19" s="71">
        <f>IF(F18+SUM(E$17:E18)=D$10,F18,D$10-SUM(E$17:E18))</f>
        <v>3808016.6315789474</v>
      </c>
      <c r="E19" s="69">
        <f t="shared" ref="E19:E71" si="3">IF(+I$14&lt;F18,I$14,D19)</f>
        <v>102919.36842105263</v>
      </c>
      <c r="F19" s="68">
        <f t="shared" ref="F19:F71" si="4">+D19-E19</f>
        <v>3705097.2631578948</v>
      </c>
      <c r="G19" s="70">
        <f t="shared" ref="G19:G71" si="5">(D19+F19)/2*I$12+E19</f>
        <v>530190.8602681451</v>
      </c>
      <c r="H19" s="52">
        <f t="shared" ref="H19:H71" si="6">+(D19+F19)/2*I$13+E19</f>
        <v>530190.8602681451</v>
      </c>
      <c r="I19" s="65">
        <f t="shared" ref="I19:I71" si="7">H19-G19</f>
        <v>0</v>
      </c>
      <c r="J19" s="65"/>
      <c r="K19" s="132"/>
      <c r="L19" s="67">
        <f t="shared" si="0"/>
        <v>0</v>
      </c>
      <c r="M19" s="132"/>
      <c r="N19" s="67">
        <f t="shared" si="1"/>
        <v>0</v>
      </c>
      <c r="O19" s="67">
        <f t="shared" si="2"/>
        <v>0</v>
      </c>
      <c r="P19" s="4"/>
    </row>
    <row r="20" spans="2:16">
      <c r="B20" s="9" t="str">
        <f t="shared" ref="B20:B72" si="8">IF(D20=F19,"","IU")</f>
        <v/>
      </c>
      <c r="C20" s="62">
        <f>IF(D11="","-",+C19+1)</f>
        <v>2027</v>
      </c>
      <c r="D20" s="71">
        <f>IF(F19+SUM(E$17:E19)=D$10,F19,D$10-SUM(E$17:E19))</f>
        <v>3705097.2631578948</v>
      </c>
      <c r="E20" s="69">
        <f t="shared" si="3"/>
        <v>102919.36842105263</v>
      </c>
      <c r="F20" s="68">
        <f t="shared" si="4"/>
        <v>3602177.8947368423</v>
      </c>
      <c r="G20" s="70">
        <f t="shared" si="5"/>
        <v>518484.79199836176</v>
      </c>
      <c r="H20" s="52">
        <f t="shared" si="6"/>
        <v>518484.79199836176</v>
      </c>
      <c r="I20" s="65">
        <f t="shared" si="7"/>
        <v>0</v>
      </c>
      <c r="J20" s="65"/>
      <c r="K20" s="132"/>
      <c r="L20" s="67">
        <f t="shared" si="0"/>
        <v>0</v>
      </c>
      <c r="M20" s="132"/>
      <c r="N20" s="67">
        <f t="shared" si="1"/>
        <v>0</v>
      </c>
      <c r="O20" s="67">
        <f t="shared" si="2"/>
        <v>0</v>
      </c>
      <c r="P20" s="4"/>
    </row>
    <row r="21" spans="2:16">
      <c r="B21" s="9" t="str">
        <f t="shared" si="8"/>
        <v/>
      </c>
      <c r="C21" s="62">
        <f>IF(D11="","-",+C20+1)</f>
        <v>2028</v>
      </c>
      <c r="D21" s="71">
        <f>IF(F20+SUM(E$17:E20)=D$10,F20,D$10-SUM(E$17:E20))</f>
        <v>3602177.8947368423</v>
      </c>
      <c r="E21" s="69">
        <f t="shared" si="3"/>
        <v>102919.36842105263</v>
      </c>
      <c r="F21" s="68">
        <f t="shared" si="4"/>
        <v>3499258.5263157897</v>
      </c>
      <c r="G21" s="70">
        <f t="shared" si="5"/>
        <v>506778.72372857842</v>
      </c>
      <c r="H21" s="52">
        <f t="shared" si="6"/>
        <v>506778.72372857842</v>
      </c>
      <c r="I21" s="65">
        <f t="shared" si="7"/>
        <v>0</v>
      </c>
      <c r="J21" s="65"/>
      <c r="K21" s="132"/>
      <c r="L21" s="67">
        <f t="shared" si="0"/>
        <v>0</v>
      </c>
      <c r="M21" s="132"/>
      <c r="N21" s="67">
        <f t="shared" si="1"/>
        <v>0</v>
      </c>
      <c r="O21" s="67">
        <f t="shared" si="2"/>
        <v>0</v>
      </c>
      <c r="P21" s="4"/>
    </row>
    <row r="22" spans="2:16">
      <c r="B22" s="9" t="str">
        <f t="shared" si="8"/>
        <v/>
      </c>
      <c r="C22" s="62">
        <f>IF(D11="","-",+C21+1)</f>
        <v>2029</v>
      </c>
      <c r="D22" s="71">
        <f>IF(F21+SUM(E$17:E21)=D$10,F21,D$10-SUM(E$17:E21))</f>
        <v>3499258.5263157897</v>
      </c>
      <c r="E22" s="69">
        <f t="shared" si="3"/>
        <v>102919.36842105263</v>
      </c>
      <c r="F22" s="68">
        <f t="shared" si="4"/>
        <v>3396339.1578947371</v>
      </c>
      <c r="G22" s="70">
        <f t="shared" si="5"/>
        <v>495072.65545879508</v>
      </c>
      <c r="H22" s="52">
        <f t="shared" si="6"/>
        <v>495072.65545879508</v>
      </c>
      <c r="I22" s="65">
        <f t="shared" si="7"/>
        <v>0</v>
      </c>
      <c r="J22" s="65"/>
      <c r="K22" s="132"/>
      <c r="L22" s="67">
        <f t="shared" si="0"/>
        <v>0</v>
      </c>
      <c r="M22" s="132"/>
      <c r="N22" s="67">
        <f t="shared" si="1"/>
        <v>0</v>
      </c>
      <c r="O22" s="67">
        <f t="shared" si="2"/>
        <v>0</v>
      </c>
      <c r="P22" s="4"/>
    </row>
    <row r="23" spans="2:16">
      <c r="B23" s="9" t="str">
        <f t="shared" si="8"/>
        <v/>
      </c>
      <c r="C23" s="62">
        <f>IF(D11="","-",+C22+1)</f>
        <v>2030</v>
      </c>
      <c r="D23" s="71">
        <f>IF(F22+SUM(E$17:E22)=D$10,F22,D$10-SUM(E$17:E22))</f>
        <v>3396339.1578947371</v>
      </c>
      <c r="E23" s="69">
        <f t="shared" si="3"/>
        <v>102919.36842105263</v>
      </c>
      <c r="F23" s="68">
        <f t="shared" si="4"/>
        <v>3293419.7894736845</v>
      </c>
      <c r="G23" s="70">
        <f t="shared" si="5"/>
        <v>483366.58718901174</v>
      </c>
      <c r="H23" s="52">
        <f t="shared" si="6"/>
        <v>483366.58718901174</v>
      </c>
      <c r="I23" s="65">
        <f t="shared" si="7"/>
        <v>0</v>
      </c>
      <c r="J23" s="65"/>
      <c r="K23" s="132"/>
      <c r="L23" s="67">
        <f t="shared" si="0"/>
        <v>0</v>
      </c>
      <c r="M23" s="132"/>
      <c r="N23" s="67">
        <f t="shared" si="1"/>
        <v>0</v>
      </c>
      <c r="O23" s="67">
        <f t="shared" si="2"/>
        <v>0</v>
      </c>
      <c r="P23" s="4"/>
    </row>
    <row r="24" spans="2:16">
      <c r="B24" s="9" t="str">
        <f t="shared" si="8"/>
        <v/>
      </c>
      <c r="C24" s="62">
        <f>IF(D11="","-",+C23+1)</f>
        <v>2031</v>
      </c>
      <c r="D24" s="71">
        <f>IF(F23+SUM(E$17:E23)=D$10,F23,D$10-SUM(E$17:E23))</f>
        <v>3293419.7894736845</v>
      </c>
      <c r="E24" s="69">
        <f t="shared" si="3"/>
        <v>102919.36842105263</v>
      </c>
      <c r="F24" s="68">
        <f t="shared" si="4"/>
        <v>3190500.4210526319</v>
      </c>
      <c r="G24" s="70">
        <f t="shared" si="5"/>
        <v>471660.5189192284</v>
      </c>
      <c r="H24" s="52">
        <f t="shared" si="6"/>
        <v>471660.5189192284</v>
      </c>
      <c r="I24" s="65">
        <f t="shared" si="7"/>
        <v>0</v>
      </c>
      <c r="J24" s="65"/>
      <c r="K24" s="132"/>
      <c r="L24" s="67">
        <f t="shared" si="0"/>
        <v>0</v>
      </c>
      <c r="M24" s="132"/>
      <c r="N24" s="67">
        <f t="shared" si="1"/>
        <v>0</v>
      </c>
      <c r="O24" s="67">
        <f t="shared" si="2"/>
        <v>0</v>
      </c>
      <c r="P24" s="4"/>
    </row>
    <row r="25" spans="2:16">
      <c r="B25" s="9" t="str">
        <f t="shared" si="8"/>
        <v/>
      </c>
      <c r="C25" s="62">
        <f>IF(D11="","-",+C24+1)</f>
        <v>2032</v>
      </c>
      <c r="D25" s="71">
        <f>IF(F24+SUM(E$17:E24)=D$10,F24,D$10-SUM(E$17:E24))</f>
        <v>3190500.4210526319</v>
      </c>
      <c r="E25" s="69">
        <f t="shared" si="3"/>
        <v>102919.36842105263</v>
      </c>
      <c r="F25" s="68">
        <f t="shared" si="4"/>
        <v>3087581.0526315793</v>
      </c>
      <c r="G25" s="70">
        <f t="shared" si="5"/>
        <v>459954.450649445</v>
      </c>
      <c r="H25" s="52">
        <f t="shared" si="6"/>
        <v>459954.450649445</v>
      </c>
      <c r="I25" s="65">
        <f t="shared" si="7"/>
        <v>0</v>
      </c>
      <c r="J25" s="65"/>
      <c r="K25" s="132"/>
      <c r="L25" s="67">
        <f t="shared" si="0"/>
        <v>0</v>
      </c>
      <c r="M25" s="132"/>
      <c r="N25" s="67">
        <f t="shared" si="1"/>
        <v>0</v>
      </c>
      <c r="O25" s="67">
        <f t="shared" si="2"/>
        <v>0</v>
      </c>
      <c r="P25" s="4"/>
    </row>
    <row r="26" spans="2:16">
      <c r="B26" s="9" t="str">
        <f t="shared" si="8"/>
        <v/>
      </c>
      <c r="C26" s="62">
        <f>IF(D11="","-",+C25+1)</f>
        <v>2033</v>
      </c>
      <c r="D26" s="71">
        <f>IF(F25+SUM(E$17:E25)=D$10,F25,D$10-SUM(E$17:E25))</f>
        <v>3087581.0526315793</v>
      </c>
      <c r="E26" s="69">
        <f t="shared" si="3"/>
        <v>102919.36842105263</v>
      </c>
      <c r="F26" s="68">
        <f t="shared" si="4"/>
        <v>2984661.6842105268</v>
      </c>
      <c r="G26" s="70">
        <f t="shared" si="5"/>
        <v>448248.38237966166</v>
      </c>
      <c r="H26" s="52">
        <f t="shared" si="6"/>
        <v>448248.38237966166</v>
      </c>
      <c r="I26" s="65">
        <f t="shared" si="7"/>
        <v>0</v>
      </c>
      <c r="J26" s="65"/>
      <c r="K26" s="132"/>
      <c r="L26" s="67">
        <f t="shared" si="0"/>
        <v>0</v>
      </c>
      <c r="M26" s="132"/>
      <c r="N26" s="67">
        <f t="shared" si="1"/>
        <v>0</v>
      </c>
      <c r="O26" s="67">
        <f t="shared" si="2"/>
        <v>0</v>
      </c>
      <c r="P26" s="4"/>
    </row>
    <row r="27" spans="2:16">
      <c r="B27" s="9" t="str">
        <f t="shared" si="8"/>
        <v/>
      </c>
      <c r="C27" s="62">
        <f>IF(D11="","-",+C26+1)</f>
        <v>2034</v>
      </c>
      <c r="D27" s="71">
        <f>IF(F26+SUM(E$17:E26)=D$10,F26,D$10-SUM(E$17:E26))</f>
        <v>2984661.6842105268</v>
      </c>
      <c r="E27" s="69">
        <f t="shared" si="3"/>
        <v>102919.36842105263</v>
      </c>
      <c r="F27" s="68">
        <f t="shared" si="4"/>
        <v>2881742.3157894742</v>
      </c>
      <c r="G27" s="70">
        <f t="shared" si="5"/>
        <v>436542.31410987832</v>
      </c>
      <c r="H27" s="52">
        <f t="shared" si="6"/>
        <v>436542.31410987832</v>
      </c>
      <c r="I27" s="65">
        <f t="shared" si="7"/>
        <v>0</v>
      </c>
      <c r="J27" s="65"/>
      <c r="K27" s="132"/>
      <c r="L27" s="67">
        <f t="shared" si="0"/>
        <v>0</v>
      </c>
      <c r="M27" s="132"/>
      <c r="N27" s="67">
        <f t="shared" si="1"/>
        <v>0</v>
      </c>
      <c r="O27" s="67">
        <f t="shared" si="2"/>
        <v>0</v>
      </c>
      <c r="P27" s="4"/>
    </row>
    <row r="28" spans="2:16">
      <c r="B28" s="9" t="str">
        <f t="shared" si="8"/>
        <v/>
      </c>
      <c r="C28" s="62">
        <f>IF(D11="","-",+C27+1)</f>
        <v>2035</v>
      </c>
      <c r="D28" s="71">
        <f>IF(F27+SUM(E$17:E27)=D$10,F27,D$10-SUM(E$17:E27))</f>
        <v>2881742.3157894742</v>
      </c>
      <c r="E28" s="69">
        <f t="shared" si="3"/>
        <v>102919.36842105263</v>
      </c>
      <c r="F28" s="68">
        <f t="shared" si="4"/>
        <v>2778822.9473684216</v>
      </c>
      <c r="G28" s="70">
        <f t="shared" si="5"/>
        <v>424836.24584009498</v>
      </c>
      <c r="H28" s="52">
        <f t="shared" si="6"/>
        <v>424836.24584009498</v>
      </c>
      <c r="I28" s="65">
        <f t="shared" si="7"/>
        <v>0</v>
      </c>
      <c r="J28" s="65"/>
      <c r="K28" s="132"/>
      <c r="L28" s="67">
        <f t="shared" si="0"/>
        <v>0</v>
      </c>
      <c r="M28" s="132"/>
      <c r="N28" s="67">
        <f t="shared" si="1"/>
        <v>0</v>
      </c>
      <c r="O28" s="67">
        <f t="shared" si="2"/>
        <v>0</v>
      </c>
      <c r="P28" s="4"/>
    </row>
    <row r="29" spans="2:16">
      <c r="B29" s="9" t="str">
        <f t="shared" si="8"/>
        <v/>
      </c>
      <c r="C29" s="62">
        <f>IF(D11="","-",+C28+1)</f>
        <v>2036</v>
      </c>
      <c r="D29" s="71">
        <f>IF(F28+SUM(E$17:E28)=D$10,F28,D$10-SUM(E$17:E28))</f>
        <v>2778822.9473684216</v>
      </c>
      <c r="E29" s="69">
        <f t="shared" si="3"/>
        <v>102919.36842105263</v>
      </c>
      <c r="F29" s="68">
        <f t="shared" si="4"/>
        <v>2675903.578947369</v>
      </c>
      <c r="G29" s="70">
        <f t="shared" si="5"/>
        <v>413130.17757031164</v>
      </c>
      <c r="H29" s="52">
        <f t="shared" si="6"/>
        <v>413130.17757031164</v>
      </c>
      <c r="I29" s="65">
        <f t="shared" si="7"/>
        <v>0</v>
      </c>
      <c r="J29" s="65"/>
      <c r="K29" s="132"/>
      <c r="L29" s="67">
        <f t="shared" si="0"/>
        <v>0</v>
      </c>
      <c r="M29" s="132"/>
      <c r="N29" s="67">
        <f t="shared" si="1"/>
        <v>0</v>
      </c>
      <c r="O29" s="67">
        <f t="shared" si="2"/>
        <v>0</v>
      </c>
      <c r="P29" s="4"/>
    </row>
    <row r="30" spans="2:16">
      <c r="B30" s="9" t="str">
        <f t="shared" si="8"/>
        <v/>
      </c>
      <c r="C30" s="62">
        <f>IF(D11="","-",+C29+1)</f>
        <v>2037</v>
      </c>
      <c r="D30" s="71">
        <f>IF(F29+SUM(E$17:E29)=D$10,F29,D$10-SUM(E$17:E29))</f>
        <v>2675903.578947369</v>
      </c>
      <c r="E30" s="69">
        <f t="shared" si="3"/>
        <v>102919.36842105263</v>
      </c>
      <c r="F30" s="68">
        <f t="shared" si="4"/>
        <v>2572984.2105263164</v>
      </c>
      <c r="G30" s="70">
        <f t="shared" si="5"/>
        <v>401424.1093005283</v>
      </c>
      <c r="H30" s="52">
        <f t="shared" si="6"/>
        <v>401424.1093005283</v>
      </c>
      <c r="I30" s="65">
        <f t="shared" si="7"/>
        <v>0</v>
      </c>
      <c r="J30" s="65"/>
      <c r="K30" s="132"/>
      <c r="L30" s="67">
        <f t="shared" si="0"/>
        <v>0</v>
      </c>
      <c r="M30" s="132"/>
      <c r="N30" s="67">
        <f t="shared" si="1"/>
        <v>0</v>
      </c>
      <c r="O30" s="67">
        <f t="shared" si="2"/>
        <v>0</v>
      </c>
      <c r="P30" s="4"/>
    </row>
    <row r="31" spans="2:16">
      <c r="B31" s="9" t="str">
        <f t="shared" si="8"/>
        <v/>
      </c>
      <c r="C31" s="62">
        <f>IF(D11="","-",+C30+1)</f>
        <v>2038</v>
      </c>
      <c r="D31" s="71">
        <f>IF(F30+SUM(E$17:E30)=D$10,F30,D$10-SUM(E$17:E30))</f>
        <v>2572984.2105263164</v>
      </c>
      <c r="E31" s="69">
        <f t="shared" si="3"/>
        <v>102919.36842105263</v>
      </c>
      <c r="F31" s="68">
        <f t="shared" si="4"/>
        <v>2470064.8421052638</v>
      </c>
      <c r="G31" s="70">
        <f t="shared" si="5"/>
        <v>389718.04103074491</v>
      </c>
      <c r="H31" s="52">
        <f t="shared" si="6"/>
        <v>389718.04103074491</v>
      </c>
      <c r="I31" s="65">
        <f t="shared" si="7"/>
        <v>0</v>
      </c>
      <c r="J31" s="65"/>
      <c r="K31" s="132"/>
      <c r="L31" s="67">
        <f t="shared" si="0"/>
        <v>0</v>
      </c>
      <c r="M31" s="132"/>
      <c r="N31" s="67">
        <f t="shared" si="1"/>
        <v>0</v>
      </c>
      <c r="O31" s="67">
        <f t="shared" si="2"/>
        <v>0</v>
      </c>
      <c r="P31" s="4"/>
    </row>
    <row r="32" spans="2:16">
      <c r="B32" s="9" t="str">
        <f t="shared" si="8"/>
        <v/>
      </c>
      <c r="C32" s="62">
        <f>IF(D11="","-",+C31+1)</f>
        <v>2039</v>
      </c>
      <c r="D32" s="71">
        <f>IF(F31+SUM(E$17:E31)=D$10,F31,D$10-SUM(E$17:E31))</f>
        <v>2470064.8421052638</v>
      </c>
      <c r="E32" s="69">
        <f t="shared" si="3"/>
        <v>102919.36842105263</v>
      </c>
      <c r="F32" s="68">
        <f t="shared" si="4"/>
        <v>2367145.4736842113</v>
      </c>
      <c r="G32" s="70">
        <f t="shared" si="5"/>
        <v>378011.97276096157</v>
      </c>
      <c r="H32" s="52">
        <f t="shared" si="6"/>
        <v>378011.97276096157</v>
      </c>
      <c r="I32" s="65">
        <f t="shared" si="7"/>
        <v>0</v>
      </c>
      <c r="J32" s="65"/>
      <c r="K32" s="132"/>
      <c r="L32" s="67">
        <f t="shared" si="0"/>
        <v>0</v>
      </c>
      <c r="M32" s="132"/>
      <c r="N32" s="67">
        <f t="shared" si="1"/>
        <v>0</v>
      </c>
      <c r="O32" s="67">
        <f t="shared" si="2"/>
        <v>0</v>
      </c>
      <c r="P32" s="4"/>
    </row>
    <row r="33" spans="2:16">
      <c r="B33" s="9" t="str">
        <f t="shared" si="8"/>
        <v/>
      </c>
      <c r="C33" s="62">
        <f>IF(D11="","-",+C32+1)</f>
        <v>2040</v>
      </c>
      <c r="D33" s="71">
        <f>IF(F32+SUM(E$17:E32)=D$10,F32,D$10-SUM(E$17:E32))</f>
        <v>2367145.4736842113</v>
      </c>
      <c r="E33" s="69">
        <f t="shared" si="3"/>
        <v>102919.36842105263</v>
      </c>
      <c r="F33" s="68">
        <f t="shared" si="4"/>
        <v>2264226.1052631587</v>
      </c>
      <c r="G33" s="70">
        <f t="shared" si="5"/>
        <v>366305.90449117823</v>
      </c>
      <c r="H33" s="52">
        <f t="shared" si="6"/>
        <v>366305.90449117823</v>
      </c>
      <c r="I33" s="65">
        <f t="shared" si="7"/>
        <v>0</v>
      </c>
      <c r="J33" s="65"/>
      <c r="K33" s="132"/>
      <c r="L33" s="67">
        <f t="shared" si="0"/>
        <v>0</v>
      </c>
      <c r="M33" s="132"/>
      <c r="N33" s="67">
        <f t="shared" si="1"/>
        <v>0</v>
      </c>
      <c r="O33" s="67">
        <f t="shared" si="2"/>
        <v>0</v>
      </c>
      <c r="P33" s="4"/>
    </row>
    <row r="34" spans="2:16">
      <c r="B34" s="9" t="str">
        <f t="shared" si="8"/>
        <v/>
      </c>
      <c r="C34" s="62">
        <f>IF(D11="","-",+C33+1)</f>
        <v>2041</v>
      </c>
      <c r="D34" s="71">
        <f>IF(F33+SUM(E$17:E33)=D$10,F33,D$10-SUM(E$17:E33))</f>
        <v>2264226.1052631587</v>
      </c>
      <c r="E34" s="69">
        <f t="shared" si="3"/>
        <v>102919.36842105263</v>
      </c>
      <c r="F34" s="68">
        <f t="shared" si="4"/>
        <v>2161306.7368421061</v>
      </c>
      <c r="G34" s="70">
        <f t="shared" si="5"/>
        <v>354599.83622139489</v>
      </c>
      <c r="H34" s="52">
        <f t="shared" si="6"/>
        <v>354599.83622139489</v>
      </c>
      <c r="I34" s="65">
        <f t="shared" si="7"/>
        <v>0</v>
      </c>
      <c r="J34" s="65"/>
      <c r="K34" s="132"/>
      <c r="L34" s="67">
        <f t="shared" si="0"/>
        <v>0</v>
      </c>
      <c r="M34" s="132"/>
      <c r="N34" s="67">
        <f t="shared" si="1"/>
        <v>0</v>
      </c>
      <c r="O34" s="67">
        <f t="shared" si="2"/>
        <v>0</v>
      </c>
      <c r="P34" s="4"/>
    </row>
    <row r="35" spans="2:16">
      <c r="B35" s="9" t="str">
        <f t="shared" si="8"/>
        <v/>
      </c>
      <c r="C35" s="62">
        <f>IF(D11="","-",+C34+1)</f>
        <v>2042</v>
      </c>
      <c r="D35" s="71">
        <f>IF(F34+SUM(E$17:E34)=D$10,F34,D$10-SUM(E$17:E34))</f>
        <v>2161306.7368421061</v>
      </c>
      <c r="E35" s="69">
        <f t="shared" si="3"/>
        <v>102919.36842105263</v>
      </c>
      <c r="F35" s="68">
        <f t="shared" si="4"/>
        <v>2058387.3684210535</v>
      </c>
      <c r="G35" s="70">
        <f t="shared" si="5"/>
        <v>342893.76795161149</v>
      </c>
      <c r="H35" s="52">
        <f t="shared" si="6"/>
        <v>342893.76795161149</v>
      </c>
      <c r="I35" s="65">
        <f t="shared" si="7"/>
        <v>0</v>
      </c>
      <c r="J35" s="65"/>
      <c r="K35" s="132"/>
      <c r="L35" s="67">
        <f t="shared" si="0"/>
        <v>0</v>
      </c>
      <c r="M35" s="132"/>
      <c r="N35" s="67">
        <f t="shared" si="1"/>
        <v>0</v>
      </c>
      <c r="O35" s="67">
        <f t="shared" si="2"/>
        <v>0</v>
      </c>
      <c r="P35" s="4"/>
    </row>
    <row r="36" spans="2:16">
      <c r="B36" s="9" t="str">
        <f t="shared" si="8"/>
        <v/>
      </c>
      <c r="C36" s="62">
        <f>IF(D11="","-",+C35+1)</f>
        <v>2043</v>
      </c>
      <c r="D36" s="71">
        <f>IF(F35+SUM(E$17:E35)=D$10,F35,D$10-SUM(E$17:E35))</f>
        <v>2058387.3684210535</v>
      </c>
      <c r="E36" s="69">
        <f t="shared" si="3"/>
        <v>102919.36842105263</v>
      </c>
      <c r="F36" s="68">
        <f t="shared" si="4"/>
        <v>1955468.0000000009</v>
      </c>
      <c r="G36" s="70">
        <f t="shared" si="5"/>
        <v>331187.69968182815</v>
      </c>
      <c r="H36" s="52">
        <f t="shared" si="6"/>
        <v>331187.69968182815</v>
      </c>
      <c r="I36" s="65">
        <f t="shared" si="7"/>
        <v>0</v>
      </c>
      <c r="J36" s="65"/>
      <c r="K36" s="132"/>
      <c r="L36" s="67">
        <f t="shared" si="0"/>
        <v>0</v>
      </c>
      <c r="M36" s="132"/>
      <c r="N36" s="67">
        <f t="shared" si="1"/>
        <v>0</v>
      </c>
      <c r="O36" s="67">
        <f t="shared" si="2"/>
        <v>0</v>
      </c>
      <c r="P36" s="4"/>
    </row>
    <row r="37" spans="2:16">
      <c r="B37" s="9" t="str">
        <f t="shared" si="8"/>
        <v/>
      </c>
      <c r="C37" s="62">
        <f>IF(D11="","-",+C36+1)</f>
        <v>2044</v>
      </c>
      <c r="D37" s="71">
        <f>IF(F36+SUM(E$17:E36)=D$10,F36,D$10-SUM(E$17:E36))</f>
        <v>1955468.0000000009</v>
      </c>
      <c r="E37" s="69">
        <f t="shared" si="3"/>
        <v>102919.36842105263</v>
      </c>
      <c r="F37" s="68">
        <f t="shared" si="4"/>
        <v>1852548.6315789483</v>
      </c>
      <c r="G37" s="70">
        <f t="shared" si="5"/>
        <v>319481.63141204481</v>
      </c>
      <c r="H37" s="52">
        <f t="shared" si="6"/>
        <v>319481.63141204481</v>
      </c>
      <c r="I37" s="65">
        <f t="shared" si="7"/>
        <v>0</v>
      </c>
      <c r="J37" s="65"/>
      <c r="K37" s="132"/>
      <c r="L37" s="67">
        <f t="shared" si="0"/>
        <v>0</v>
      </c>
      <c r="M37" s="132"/>
      <c r="N37" s="67">
        <f t="shared" si="1"/>
        <v>0</v>
      </c>
      <c r="O37" s="67">
        <f t="shared" si="2"/>
        <v>0</v>
      </c>
      <c r="P37" s="4"/>
    </row>
    <row r="38" spans="2:16">
      <c r="B38" s="9" t="str">
        <f t="shared" si="8"/>
        <v/>
      </c>
      <c r="C38" s="62">
        <f>IF(D11="","-",+C37+1)</f>
        <v>2045</v>
      </c>
      <c r="D38" s="71">
        <f>IF(F37+SUM(E$17:E37)=D$10,F37,D$10-SUM(E$17:E37))</f>
        <v>1852548.6315789483</v>
      </c>
      <c r="E38" s="69">
        <f t="shared" si="3"/>
        <v>102919.36842105263</v>
      </c>
      <c r="F38" s="68">
        <f t="shared" si="4"/>
        <v>1749629.2631578958</v>
      </c>
      <c r="G38" s="70">
        <f t="shared" si="5"/>
        <v>307775.56314226147</v>
      </c>
      <c r="H38" s="52">
        <f t="shared" si="6"/>
        <v>307775.56314226147</v>
      </c>
      <c r="I38" s="65">
        <f t="shared" si="7"/>
        <v>0</v>
      </c>
      <c r="J38" s="65"/>
      <c r="K38" s="132"/>
      <c r="L38" s="67">
        <f t="shared" si="0"/>
        <v>0</v>
      </c>
      <c r="M38" s="132"/>
      <c r="N38" s="67">
        <f t="shared" si="1"/>
        <v>0</v>
      </c>
      <c r="O38" s="67">
        <f t="shared" si="2"/>
        <v>0</v>
      </c>
      <c r="P38" s="4"/>
    </row>
    <row r="39" spans="2:16">
      <c r="B39" s="9" t="str">
        <f t="shared" si="8"/>
        <v/>
      </c>
      <c r="C39" s="62">
        <f>IF(D11="","-",+C38+1)</f>
        <v>2046</v>
      </c>
      <c r="D39" s="71">
        <f>IF(F38+SUM(E$17:E38)=D$10,F38,D$10-SUM(E$17:E38))</f>
        <v>1749629.2631578958</v>
      </c>
      <c r="E39" s="69">
        <f t="shared" si="3"/>
        <v>102919.36842105263</v>
      </c>
      <c r="F39" s="68">
        <f t="shared" si="4"/>
        <v>1646709.8947368432</v>
      </c>
      <c r="G39" s="70">
        <f t="shared" si="5"/>
        <v>296069.49487247813</v>
      </c>
      <c r="H39" s="52">
        <f t="shared" si="6"/>
        <v>296069.49487247813</v>
      </c>
      <c r="I39" s="65">
        <f t="shared" si="7"/>
        <v>0</v>
      </c>
      <c r="J39" s="65"/>
      <c r="K39" s="132"/>
      <c r="L39" s="67">
        <f t="shared" si="0"/>
        <v>0</v>
      </c>
      <c r="M39" s="132"/>
      <c r="N39" s="67">
        <f t="shared" si="1"/>
        <v>0</v>
      </c>
      <c r="O39" s="67">
        <f t="shared" si="2"/>
        <v>0</v>
      </c>
      <c r="P39" s="4"/>
    </row>
    <row r="40" spans="2:16">
      <c r="B40" s="9" t="str">
        <f t="shared" si="8"/>
        <v/>
      </c>
      <c r="C40" s="62">
        <f>IF(D11="","-",+C39+1)</f>
        <v>2047</v>
      </c>
      <c r="D40" s="71">
        <f>IF(F39+SUM(E$17:E39)=D$10,F39,D$10-SUM(E$17:E39))</f>
        <v>1646709.8947368432</v>
      </c>
      <c r="E40" s="69">
        <f t="shared" si="3"/>
        <v>102919.36842105263</v>
      </c>
      <c r="F40" s="68">
        <f t="shared" si="4"/>
        <v>1543790.5263157906</v>
      </c>
      <c r="G40" s="70">
        <f t="shared" si="5"/>
        <v>284363.42660269479</v>
      </c>
      <c r="H40" s="52">
        <f t="shared" si="6"/>
        <v>284363.42660269479</v>
      </c>
      <c r="I40" s="65">
        <f t="shared" si="7"/>
        <v>0</v>
      </c>
      <c r="J40" s="65"/>
      <c r="K40" s="132"/>
      <c r="L40" s="67">
        <f t="shared" si="0"/>
        <v>0</v>
      </c>
      <c r="M40" s="132"/>
      <c r="N40" s="67">
        <f t="shared" si="1"/>
        <v>0</v>
      </c>
      <c r="O40" s="67">
        <f t="shared" si="2"/>
        <v>0</v>
      </c>
      <c r="P40" s="4"/>
    </row>
    <row r="41" spans="2:16">
      <c r="B41" s="9" t="str">
        <f t="shared" si="8"/>
        <v/>
      </c>
      <c r="C41" s="62">
        <f>IF(D11="","-",+C40+1)</f>
        <v>2048</v>
      </c>
      <c r="D41" s="71">
        <f>IF(F40+SUM(E$17:E40)=D$10,F40,D$10-SUM(E$17:E40))</f>
        <v>1543790.5263157906</v>
      </c>
      <c r="E41" s="69">
        <f t="shared" si="3"/>
        <v>102919.36842105263</v>
      </c>
      <c r="F41" s="68">
        <f t="shared" si="4"/>
        <v>1440871.157894738</v>
      </c>
      <c r="G41" s="70">
        <f t="shared" si="5"/>
        <v>272657.35833291139</v>
      </c>
      <c r="H41" s="52">
        <f t="shared" si="6"/>
        <v>272657.35833291139</v>
      </c>
      <c r="I41" s="65">
        <f t="shared" si="7"/>
        <v>0</v>
      </c>
      <c r="J41" s="65"/>
      <c r="K41" s="132"/>
      <c r="L41" s="67">
        <f t="shared" si="0"/>
        <v>0</v>
      </c>
      <c r="M41" s="132"/>
      <c r="N41" s="67">
        <f t="shared" si="1"/>
        <v>0</v>
      </c>
      <c r="O41" s="67">
        <f t="shared" si="2"/>
        <v>0</v>
      </c>
      <c r="P41" s="4"/>
    </row>
    <row r="42" spans="2:16">
      <c r="B42" s="9" t="str">
        <f t="shared" si="8"/>
        <v/>
      </c>
      <c r="C42" s="62">
        <f>IF(D11="","-",+C41+1)</f>
        <v>2049</v>
      </c>
      <c r="D42" s="71">
        <f>IF(F41+SUM(E$17:E41)=D$10,F41,D$10-SUM(E$17:E41))</f>
        <v>1440871.157894738</v>
      </c>
      <c r="E42" s="69">
        <f t="shared" si="3"/>
        <v>102919.36842105263</v>
      </c>
      <c r="F42" s="68">
        <f t="shared" si="4"/>
        <v>1337951.7894736854</v>
      </c>
      <c r="G42" s="70">
        <f t="shared" si="5"/>
        <v>260951.29006312805</v>
      </c>
      <c r="H42" s="52">
        <f t="shared" si="6"/>
        <v>260951.29006312805</v>
      </c>
      <c r="I42" s="65">
        <f t="shared" si="7"/>
        <v>0</v>
      </c>
      <c r="J42" s="65"/>
      <c r="K42" s="132"/>
      <c r="L42" s="67">
        <f t="shared" si="0"/>
        <v>0</v>
      </c>
      <c r="M42" s="132"/>
      <c r="N42" s="67">
        <f t="shared" si="1"/>
        <v>0</v>
      </c>
      <c r="O42" s="67">
        <f t="shared" si="2"/>
        <v>0</v>
      </c>
      <c r="P42" s="4"/>
    </row>
    <row r="43" spans="2:16">
      <c r="B43" s="9" t="str">
        <f t="shared" si="8"/>
        <v/>
      </c>
      <c r="C43" s="62">
        <f>IF(D11="","-",+C42+1)</f>
        <v>2050</v>
      </c>
      <c r="D43" s="71">
        <f>IF(F42+SUM(E$17:E42)=D$10,F42,D$10-SUM(E$17:E42))</f>
        <v>1337951.7894736854</v>
      </c>
      <c r="E43" s="69">
        <f t="shared" si="3"/>
        <v>102919.36842105263</v>
      </c>
      <c r="F43" s="68">
        <f t="shared" si="4"/>
        <v>1235032.4210526329</v>
      </c>
      <c r="G43" s="70">
        <f t="shared" si="5"/>
        <v>249245.22179334471</v>
      </c>
      <c r="H43" s="52">
        <f t="shared" si="6"/>
        <v>249245.22179334471</v>
      </c>
      <c r="I43" s="65">
        <f t="shared" si="7"/>
        <v>0</v>
      </c>
      <c r="J43" s="65"/>
      <c r="K43" s="132"/>
      <c r="L43" s="67">
        <f t="shared" si="0"/>
        <v>0</v>
      </c>
      <c r="M43" s="132"/>
      <c r="N43" s="67">
        <f t="shared" si="1"/>
        <v>0</v>
      </c>
      <c r="O43" s="67">
        <f t="shared" si="2"/>
        <v>0</v>
      </c>
      <c r="P43" s="4"/>
    </row>
    <row r="44" spans="2:16">
      <c r="B44" s="9" t="str">
        <f t="shared" si="8"/>
        <v/>
      </c>
      <c r="C44" s="62">
        <f>IF(D11="","-",+C43+1)</f>
        <v>2051</v>
      </c>
      <c r="D44" s="71">
        <f>IF(F43+SUM(E$17:E43)=D$10,F43,D$10-SUM(E$17:E43))</f>
        <v>1235032.4210526329</v>
      </c>
      <c r="E44" s="69">
        <f t="shared" si="3"/>
        <v>102919.36842105263</v>
      </c>
      <c r="F44" s="68">
        <f t="shared" si="4"/>
        <v>1132113.0526315803</v>
      </c>
      <c r="G44" s="70">
        <f t="shared" si="5"/>
        <v>237539.15352356137</v>
      </c>
      <c r="H44" s="52">
        <f t="shared" si="6"/>
        <v>237539.15352356137</v>
      </c>
      <c r="I44" s="65">
        <f t="shared" si="7"/>
        <v>0</v>
      </c>
      <c r="J44" s="65"/>
      <c r="K44" s="132"/>
      <c r="L44" s="67">
        <f t="shared" si="0"/>
        <v>0</v>
      </c>
      <c r="M44" s="132"/>
      <c r="N44" s="67">
        <f t="shared" si="1"/>
        <v>0</v>
      </c>
      <c r="O44" s="67">
        <f t="shared" si="2"/>
        <v>0</v>
      </c>
      <c r="P44" s="4"/>
    </row>
    <row r="45" spans="2:16">
      <c r="B45" s="9" t="str">
        <f t="shared" si="8"/>
        <v/>
      </c>
      <c r="C45" s="62">
        <f>IF(D11="","-",+C44+1)</f>
        <v>2052</v>
      </c>
      <c r="D45" s="71">
        <f>IF(F44+SUM(E$17:E44)=D$10,F44,D$10-SUM(E$17:E44))</f>
        <v>1132113.0526315803</v>
      </c>
      <c r="E45" s="69">
        <f t="shared" si="3"/>
        <v>102919.36842105263</v>
      </c>
      <c r="F45" s="68">
        <f t="shared" si="4"/>
        <v>1029193.6842105277</v>
      </c>
      <c r="G45" s="70">
        <f t="shared" si="5"/>
        <v>225833.08525377803</v>
      </c>
      <c r="H45" s="52">
        <f t="shared" si="6"/>
        <v>225833.08525377803</v>
      </c>
      <c r="I45" s="65">
        <f t="shared" si="7"/>
        <v>0</v>
      </c>
      <c r="J45" s="65"/>
      <c r="K45" s="132"/>
      <c r="L45" s="67">
        <f t="shared" si="0"/>
        <v>0</v>
      </c>
      <c r="M45" s="132"/>
      <c r="N45" s="67">
        <f t="shared" si="1"/>
        <v>0</v>
      </c>
      <c r="O45" s="67">
        <f t="shared" si="2"/>
        <v>0</v>
      </c>
      <c r="P45" s="4"/>
    </row>
    <row r="46" spans="2:16">
      <c r="B46" s="9" t="str">
        <f t="shared" si="8"/>
        <v/>
      </c>
      <c r="C46" s="62">
        <f>IF(D11="","-",+C45+1)</f>
        <v>2053</v>
      </c>
      <c r="D46" s="71">
        <f>IF(F45+SUM(E$17:E45)=D$10,F45,D$10-SUM(E$17:E45))</f>
        <v>1029193.6842105277</v>
      </c>
      <c r="E46" s="69">
        <f t="shared" si="3"/>
        <v>102919.36842105263</v>
      </c>
      <c r="F46" s="68">
        <f t="shared" si="4"/>
        <v>926274.31578947511</v>
      </c>
      <c r="G46" s="70">
        <f t="shared" si="5"/>
        <v>214127.01698399466</v>
      </c>
      <c r="H46" s="52">
        <f t="shared" si="6"/>
        <v>214127.01698399466</v>
      </c>
      <c r="I46" s="65">
        <f t="shared" si="7"/>
        <v>0</v>
      </c>
      <c r="J46" s="65"/>
      <c r="K46" s="132"/>
      <c r="L46" s="67">
        <f t="shared" si="0"/>
        <v>0</v>
      </c>
      <c r="M46" s="132"/>
      <c r="N46" s="67">
        <f t="shared" si="1"/>
        <v>0</v>
      </c>
      <c r="O46" s="67">
        <f t="shared" si="2"/>
        <v>0</v>
      </c>
      <c r="P46" s="4"/>
    </row>
    <row r="47" spans="2:16">
      <c r="B47" s="9" t="str">
        <f t="shared" si="8"/>
        <v/>
      </c>
      <c r="C47" s="62">
        <f>IF(D11="","-",+C46+1)</f>
        <v>2054</v>
      </c>
      <c r="D47" s="71">
        <f>IF(F46+SUM(E$17:E46)=D$10,F46,D$10-SUM(E$17:E46))</f>
        <v>926274.31578947511</v>
      </c>
      <c r="E47" s="69">
        <f t="shared" si="3"/>
        <v>102919.36842105263</v>
      </c>
      <c r="F47" s="68">
        <f t="shared" si="4"/>
        <v>823354.94736842252</v>
      </c>
      <c r="G47" s="70">
        <f t="shared" si="5"/>
        <v>202420.94871421132</v>
      </c>
      <c r="H47" s="52">
        <f t="shared" si="6"/>
        <v>202420.94871421132</v>
      </c>
      <c r="I47" s="65">
        <f t="shared" si="7"/>
        <v>0</v>
      </c>
      <c r="J47" s="65"/>
      <c r="K47" s="132"/>
      <c r="L47" s="67">
        <f t="shared" si="0"/>
        <v>0</v>
      </c>
      <c r="M47" s="132"/>
      <c r="N47" s="67">
        <f t="shared" si="1"/>
        <v>0</v>
      </c>
      <c r="O47" s="67">
        <f t="shared" si="2"/>
        <v>0</v>
      </c>
      <c r="P47" s="4"/>
    </row>
    <row r="48" spans="2:16">
      <c r="B48" s="9" t="str">
        <f t="shared" si="8"/>
        <v/>
      </c>
      <c r="C48" s="62">
        <f>IF(D11="","-",+C47+1)</f>
        <v>2055</v>
      </c>
      <c r="D48" s="71">
        <f>IF(F47+SUM(E$17:E47)=D$10,F47,D$10-SUM(E$17:E47))</f>
        <v>823354.94736842252</v>
      </c>
      <c r="E48" s="69">
        <f t="shared" si="3"/>
        <v>102919.36842105263</v>
      </c>
      <c r="F48" s="68">
        <f t="shared" si="4"/>
        <v>720435.57894736994</v>
      </c>
      <c r="G48" s="70">
        <f t="shared" si="5"/>
        <v>190714.88044442795</v>
      </c>
      <c r="H48" s="52">
        <f t="shared" si="6"/>
        <v>190714.88044442795</v>
      </c>
      <c r="I48" s="65">
        <f t="shared" si="7"/>
        <v>0</v>
      </c>
      <c r="J48" s="65"/>
      <c r="K48" s="132"/>
      <c r="L48" s="67">
        <f t="shared" si="0"/>
        <v>0</v>
      </c>
      <c r="M48" s="132"/>
      <c r="N48" s="67">
        <f t="shared" si="1"/>
        <v>0</v>
      </c>
      <c r="O48" s="67">
        <f t="shared" si="2"/>
        <v>0</v>
      </c>
      <c r="P48" s="4"/>
    </row>
    <row r="49" spans="2:16">
      <c r="B49" s="9" t="str">
        <f t="shared" si="8"/>
        <v/>
      </c>
      <c r="C49" s="62">
        <f>IF(D11="","-",+C48+1)</f>
        <v>2056</v>
      </c>
      <c r="D49" s="71">
        <f>IF(F48+SUM(E$17:E48)=D$10,F48,D$10-SUM(E$17:E48))</f>
        <v>720435.57894736994</v>
      </c>
      <c r="E49" s="69">
        <f t="shared" si="3"/>
        <v>102919.36842105263</v>
      </c>
      <c r="F49" s="68">
        <f t="shared" si="4"/>
        <v>617516.21052631736</v>
      </c>
      <c r="G49" s="70">
        <f t="shared" si="5"/>
        <v>179008.81217464461</v>
      </c>
      <c r="H49" s="52">
        <f t="shared" si="6"/>
        <v>179008.81217464461</v>
      </c>
      <c r="I49" s="65">
        <f t="shared" si="7"/>
        <v>0</v>
      </c>
      <c r="J49" s="65"/>
      <c r="K49" s="132"/>
      <c r="L49" s="67">
        <f t="shared" si="0"/>
        <v>0</v>
      </c>
      <c r="M49" s="132"/>
      <c r="N49" s="67">
        <f t="shared" si="1"/>
        <v>0</v>
      </c>
      <c r="O49" s="67">
        <f t="shared" si="2"/>
        <v>0</v>
      </c>
      <c r="P49" s="4"/>
    </row>
    <row r="50" spans="2:16">
      <c r="B50" s="9" t="str">
        <f t="shared" si="8"/>
        <v/>
      </c>
      <c r="C50" s="62">
        <f>IF(D11="","-",+C49+1)</f>
        <v>2057</v>
      </c>
      <c r="D50" s="71">
        <f>IF(F49+SUM(E$17:E49)=D$10,F49,D$10-SUM(E$17:E49))</f>
        <v>617516.21052631736</v>
      </c>
      <c r="E50" s="69">
        <f t="shared" si="3"/>
        <v>102919.36842105263</v>
      </c>
      <c r="F50" s="68">
        <f t="shared" si="4"/>
        <v>514596.84210526472</v>
      </c>
      <c r="G50" s="70">
        <f t="shared" si="5"/>
        <v>167302.74390486127</v>
      </c>
      <c r="H50" s="52">
        <f t="shared" si="6"/>
        <v>167302.74390486127</v>
      </c>
      <c r="I50" s="65">
        <f t="shared" si="7"/>
        <v>0</v>
      </c>
      <c r="J50" s="65"/>
      <c r="K50" s="132"/>
      <c r="L50" s="67">
        <f t="shared" si="0"/>
        <v>0</v>
      </c>
      <c r="M50" s="132"/>
      <c r="N50" s="67">
        <f t="shared" si="1"/>
        <v>0</v>
      </c>
      <c r="O50" s="67">
        <f t="shared" si="2"/>
        <v>0</v>
      </c>
      <c r="P50" s="4"/>
    </row>
    <row r="51" spans="2:16">
      <c r="B51" s="9" t="str">
        <f t="shared" si="8"/>
        <v/>
      </c>
      <c r="C51" s="62">
        <f>IF(D11="","-",+C50+1)</f>
        <v>2058</v>
      </c>
      <c r="D51" s="71">
        <f>IF(F50+SUM(E$17:E50)=D$10,F50,D$10-SUM(E$17:E50))</f>
        <v>514596.84210526472</v>
      </c>
      <c r="E51" s="69">
        <f t="shared" si="3"/>
        <v>102919.36842105263</v>
      </c>
      <c r="F51" s="68">
        <f t="shared" si="4"/>
        <v>411677.47368421208</v>
      </c>
      <c r="G51" s="70">
        <f t="shared" si="5"/>
        <v>155596.6756350779</v>
      </c>
      <c r="H51" s="52">
        <f t="shared" si="6"/>
        <v>155596.6756350779</v>
      </c>
      <c r="I51" s="65">
        <f t="shared" si="7"/>
        <v>0</v>
      </c>
      <c r="J51" s="65"/>
      <c r="K51" s="132"/>
      <c r="L51" s="67">
        <f t="shared" si="0"/>
        <v>0</v>
      </c>
      <c r="M51" s="132"/>
      <c r="N51" s="67">
        <f t="shared" si="1"/>
        <v>0</v>
      </c>
      <c r="O51" s="67">
        <f t="shared" si="2"/>
        <v>0</v>
      </c>
      <c r="P51" s="4"/>
    </row>
    <row r="52" spans="2:16">
      <c r="B52" s="9" t="str">
        <f t="shared" si="8"/>
        <v/>
      </c>
      <c r="C52" s="62">
        <f>IF(D11="","-",+C51+1)</f>
        <v>2059</v>
      </c>
      <c r="D52" s="71">
        <f>IF(F51+SUM(E$17:E51)=D$10,F51,D$10-SUM(E$17:E51))</f>
        <v>411677.47368421208</v>
      </c>
      <c r="E52" s="69">
        <f t="shared" si="3"/>
        <v>102919.36842105263</v>
      </c>
      <c r="F52" s="68">
        <f t="shared" si="4"/>
        <v>308758.10526315944</v>
      </c>
      <c r="G52" s="70">
        <f t="shared" si="5"/>
        <v>143890.60736529453</v>
      </c>
      <c r="H52" s="52">
        <f t="shared" si="6"/>
        <v>143890.60736529453</v>
      </c>
      <c r="I52" s="65">
        <f t="shared" si="7"/>
        <v>0</v>
      </c>
      <c r="J52" s="65"/>
      <c r="K52" s="132"/>
      <c r="L52" s="67">
        <f t="shared" si="0"/>
        <v>0</v>
      </c>
      <c r="M52" s="132"/>
      <c r="N52" s="67">
        <f t="shared" si="1"/>
        <v>0</v>
      </c>
      <c r="O52" s="67">
        <f t="shared" si="2"/>
        <v>0</v>
      </c>
      <c r="P52" s="4"/>
    </row>
    <row r="53" spans="2:16">
      <c r="B53" s="9" t="str">
        <f t="shared" si="8"/>
        <v/>
      </c>
      <c r="C53" s="62">
        <f>IF(D11="","-",+C52+1)</f>
        <v>2060</v>
      </c>
      <c r="D53" s="71">
        <f>IF(F52+SUM(E$17:E52)=D$10,F52,D$10-SUM(E$17:E52))</f>
        <v>308758.10526315944</v>
      </c>
      <c r="E53" s="69">
        <f t="shared" si="3"/>
        <v>102919.36842105263</v>
      </c>
      <c r="F53" s="68">
        <f t="shared" si="4"/>
        <v>205838.73684210679</v>
      </c>
      <c r="G53" s="70">
        <f t="shared" si="5"/>
        <v>132184.53909551119</v>
      </c>
      <c r="H53" s="52">
        <f t="shared" si="6"/>
        <v>132184.53909551119</v>
      </c>
      <c r="I53" s="65">
        <f t="shared" si="7"/>
        <v>0</v>
      </c>
      <c r="J53" s="65"/>
      <c r="K53" s="132"/>
      <c r="L53" s="67">
        <f t="shared" si="0"/>
        <v>0</v>
      </c>
      <c r="M53" s="132"/>
      <c r="N53" s="67">
        <f t="shared" si="1"/>
        <v>0</v>
      </c>
      <c r="O53" s="67">
        <f t="shared" si="2"/>
        <v>0</v>
      </c>
      <c r="P53" s="4"/>
    </row>
    <row r="54" spans="2:16">
      <c r="B54" s="9" t="str">
        <f t="shared" si="8"/>
        <v/>
      </c>
      <c r="C54" s="62">
        <f>IF(D11="","-",+C53+1)</f>
        <v>2061</v>
      </c>
      <c r="D54" s="71">
        <f>IF(F53+SUM(E$17:E53)=D$10,F53,D$10-SUM(E$17:E53))</f>
        <v>205838.73684210679</v>
      </c>
      <c r="E54" s="69">
        <f t="shared" si="3"/>
        <v>102919.36842105263</v>
      </c>
      <c r="F54" s="68">
        <f t="shared" si="4"/>
        <v>102919.36842105417</v>
      </c>
      <c r="G54" s="70">
        <f t="shared" si="5"/>
        <v>120478.47082572783</v>
      </c>
      <c r="H54" s="52">
        <f t="shared" si="6"/>
        <v>120478.47082572783</v>
      </c>
      <c r="I54" s="65">
        <f t="shared" si="7"/>
        <v>0</v>
      </c>
      <c r="J54" s="65"/>
      <c r="K54" s="132"/>
      <c r="L54" s="67">
        <f t="shared" si="0"/>
        <v>0</v>
      </c>
      <c r="M54" s="132"/>
      <c r="N54" s="67">
        <f t="shared" si="1"/>
        <v>0</v>
      </c>
      <c r="O54" s="67">
        <f t="shared" si="2"/>
        <v>0</v>
      </c>
      <c r="P54" s="4"/>
    </row>
    <row r="55" spans="2:16">
      <c r="B55" s="9" t="str">
        <f t="shared" si="8"/>
        <v/>
      </c>
      <c r="C55" s="62">
        <f>IF(D11="","-",+C54+1)</f>
        <v>2062</v>
      </c>
      <c r="D55" s="71">
        <f>IF(F54+SUM(E$17:E54)=D$10,F54,D$10-SUM(E$17:E54))</f>
        <v>102919.36842105417</v>
      </c>
      <c r="E55" s="69">
        <f t="shared" si="3"/>
        <v>102919.36842105263</v>
      </c>
      <c r="F55" s="68">
        <f t="shared" si="4"/>
        <v>1.5425030142068863E-9</v>
      </c>
      <c r="G55" s="70">
        <f t="shared" si="5"/>
        <v>108772.40255594449</v>
      </c>
      <c r="H55" s="52">
        <f t="shared" si="6"/>
        <v>108772.40255594449</v>
      </c>
      <c r="I55" s="65">
        <f t="shared" si="7"/>
        <v>0</v>
      </c>
      <c r="J55" s="65"/>
      <c r="K55" s="132"/>
      <c r="L55" s="67">
        <f t="shared" si="0"/>
        <v>0</v>
      </c>
      <c r="M55" s="132"/>
      <c r="N55" s="67">
        <f t="shared" si="1"/>
        <v>0</v>
      </c>
      <c r="O55" s="67">
        <f t="shared" si="2"/>
        <v>0</v>
      </c>
      <c r="P55" s="4"/>
    </row>
    <row r="56" spans="2:16">
      <c r="B56" s="9" t="str">
        <f t="shared" si="8"/>
        <v/>
      </c>
      <c r="C56" s="62">
        <f>IF(D11="","-",+C55+1)</f>
        <v>2063</v>
      </c>
      <c r="D56" s="71">
        <f>IF(F55+SUM(E$17:E55)=D$10,F55,D$10-SUM(E$17:E55))</f>
        <v>1.5425030142068863E-9</v>
      </c>
      <c r="E56" s="69">
        <f t="shared" si="3"/>
        <v>1.5425030142068863E-9</v>
      </c>
      <c r="F56" s="68">
        <f t="shared" si="4"/>
        <v>0</v>
      </c>
      <c r="G56" s="70">
        <f t="shared" si="5"/>
        <v>1.6302253052958727E-9</v>
      </c>
      <c r="H56" s="52">
        <f t="shared" si="6"/>
        <v>1.6302253052958727E-9</v>
      </c>
      <c r="I56" s="65">
        <f t="shared" si="7"/>
        <v>0</v>
      </c>
      <c r="J56" s="65"/>
      <c r="K56" s="132"/>
      <c r="L56" s="67">
        <f t="shared" si="0"/>
        <v>0</v>
      </c>
      <c r="M56" s="132"/>
      <c r="N56" s="67">
        <f t="shared" si="1"/>
        <v>0</v>
      </c>
      <c r="O56" s="67">
        <f t="shared" si="2"/>
        <v>0</v>
      </c>
      <c r="P56" s="4"/>
    </row>
    <row r="57" spans="2:16">
      <c r="B57" s="9" t="str">
        <f t="shared" si="8"/>
        <v/>
      </c>
      <c r="C57" s="62">
        <f>IF(D11="","-",+C56+1)</f>
        <v>2064</v>
      </c>
      <c r="D57" s="71">
        <f>IF(F56+SUM(E$17:E56)=D$10,F56,D$10-SUM(E$17:E56))</f>
        <v>0</v>
      </c>
      <c r="E57" s="69">
        <f t="shared" si="3"/>
        <v>0</v>
      </c>
      <c r="F57" s="68">
        <f t="shared" si="4"/>
        <v>0</v>
      </c>
      <c r="G57" s="70">
        <f t="shared" si="5"/>
        <v>0</v>
      </c>
      <c r="H57" s="52">
        <f t="shared" si="6"/>
        <v>0</v>
      </c>
      <c r="I57" s="65">
        <f t="shared" si="7"/>
        <v>0</v>
      </c>
      <c r="J57" s="65"/>
      <c r="K57" s="132"/>
      <c r="L57" s="67">
        <f t="shared" si="0"/>
        <v>0</v>
      </c>
      <c r="M57" s="132"/>
      <c r="N57" s="67">
        <f t="shared" si="1"/>
        <v>0</v>
      </c>
      <c r="O57" s="67">
        <f t="shared" si="2"/>
        <v>0</v>
      </c>
      <c r="P57" s="4"/>
    </row>
    <row r="58" spans="2:16">
      <c r="B58" s="9" t="str">
        <f t="shared" si="8"/>
        <v/>
      </c>
      <c r="C58" s="62">
        <f>IF(D11="","-",+C57+1)</f>
        <v>2065</v>
      </c>
      <c r="D58" s="71">
        <f>IF(F57+SUM(E$17:E57)=D$10,F57,D$10-SUM(E$17:E57))</f>
        <v>0</v>
      </c>
      <c r="E58" s="69">
        <f t="shared" si="3"/>
        <v>0</v>
      </c>
      <c r="F58" s="68">
        <f t="shared" si="4"/>
        <v>0</v>
      </c>
      <c r="G58" s="70">
        <f t="shared" si="5"/>
        <v>0</v>
      </c>
      <c r="H58" s="52">
        <f t="shared" si="6"/>
        <v>0</v>
      </c>
      <c r="I58" s="65">
        <f t="shared" si="7"/>
        <v>0</v>
      </c>
      <c r="J58" s="65"/>
      <c r="K58" s="132"/>
      <c r="L58" s="67">
        <f t="shared" si="0"/>
        <v>0</v>
      </c>
      <c r="M58" s="132"/>
      <c r="N58" s="67">
        <f t="shared" si="1"/>
        <v>0</v>
      </c>
      <c r="O58" s="67">
        <f t="shared" si="2"/>
        <v>0</v>
      </c>
      <c r="P58" s="4"/>
    </row>
    <row r="59" spans="2:16">
      <c r="B59" s="9" t="str">
        <f t="shared" si="8"/>
        <v/>
      </c>
      <c r="C59" s="62">
        <f>IF(D11="","-",+C58+1)</f>
        <v>2066</v>
      </c>
      <c r="D59" s="71">
        <f>IF(F58+SUM(E$17:E58)=D$10,F58,D$10-SUM(E$17:E58))</f>
        <v>0</v>
      </c>
      <c r="E59" s="69">
        <f t="shared" si="3"/>
        <v>0</v>
      </c>
      <c r="F59" s="68">
        <f t="shared" si="4"/>
        <v>0</v>
      </c>
      <c r="G59" s="70">
        <f t="shared" si="5"/>
        <v>0</v>
      </c>
      <c r="H59" s="52">
        <f t="shared" si="6"/>
        <v>0</v>
      </c>
      <c r="I59" s="65">
        <f t="shared" si="7"/>
        <v>0</v>
      </c>
      <c r="J59" s="65"/>
      <c r="K59" s="132"/>
      <c r="L59" s="67">
        <f t="shared" si="0"/>
        <v>0</v>
      </c>
      <c r="M59" s="132"/>
      <c r="N59" s="67">
        <f t="shared" si="1"/>
        <v>0</v>
      </c>
      <c r="O59" s="67">
        <f t="shared" si="2"/>
        <v>0</v>
      </c>
      <c r="P59" s="4"/>
    </row>
    <row r="60" spans="2:16">
      <c r="B60" s="9" t="str">
        <f t="shared" si="8"/>
        <v/>
      </c>
      <c r="C60" s="62">
        <f>IF(D11="","-",+C59+1)</f>
        <v>2067</v>
      </c>
      <c r="D60" s="71">
        <f>IF(F59+SUM(E$17:E59)=D$10,F59,D$10-SUM(E$17:E59))</f>
        <v>0</v>
      </c>
      <c r="E60" s="69">
        <f t="shared" si="3"/>
        <v>0</v>
      </c>
      <c r="F60" s="68">
        <f t="shared" si="4"/>
        <v>0</v>
      </c>
      <c r="G60" s="70">
        <f t="shared" si="5"/>
        <v>0</v>
      </c>
      <c r="H60" s="52">
        <f t="shared" si="6"/>
        <v>0</v>
      </c>
      <c r="I60" s="65">
        <f t="shared" si="7"/>
        <v>0</v>
      </c>
      <c r="J60" s="65"/>
      <c r="K60" s="132"/>
      <c r="L60" s="67">
        <f t="shared" si="0"/>
        <v>0</v>
      </c>
      <c r="M60" s="132"/>
      <c r="N60" s="67">
        <f t="shared" si="1"/>
        <v>0</v>
      </c>
      <c r="O60" s="67">
        <f t="shared" si="2"/>
        <v>0</v>
      </c>
      <c r="P60" s="4"/>
    </row>
    <row r="61" spans="2:16">
      <c r="B61" s="9" t="str">
        <f t="shared" si="8"/>
        <v/>
      </c>
      <c r="C61" s="62">
        <f>IF(D11="","-",+C60+1)</f>
        <v>2068</v>
      </c>
      <c r="D61" s="71">
        <f>IF(F60+SUM(E$17:E60)=D$10,F60,D$10-SUM(E$17:E60))</f>
        <v>0</v>
      </c>
      <c r="E61" s="69">
        <f t="shared" si="3"/>
        <v>0</v>
      </c>
      <c r="F61" s="68">
        <f t="shared" si="4"/>
        <v>0</v>
      </c>
      <c r="G61" s="70">
        <f t="shared" si="5"/>
        <v>0</v>
      </c>
      <c r="H61" s="52">
        <f t="shared" si="6"/>
        <v>0</v>
      </c>
      <c r="I61" s="65">
        <f t="shared" si="7"/>
        <v>0</v>
      </c>
      <c r="J61" s="65"/>
      <c r="K61" s="132"/>
      <c r="L61" s="67">
        <f t="shared" si="0"/>
        <v>0</v>
      </c>
      <c r="M61" s="132"/>
      <c r="N61" s="67">
        <f t="shared" si="1"/>
        <v>0</v>
      </c>
      <c r="O61" s="67">
        <f t="shared" si="2"/>
        <v>0</v>
      </c>
      <c r="P61" s="4"/>
    </row>
    <row r="62" spans="2:16">
      <c r="B62" s="9" t="str">
        <f t="shared" si="8"/>
        <v/>
      </c>
      <c r="C62" s="62">
        <f>IF(D11="","-",+C61+1)</f>
        <v>2069</v>
      </c>
      <c r="D62" s="71">
        <f>IF(F61+SUM(E$17:E61)=D$10,F61,D$10-SUM(E$17:E61))</f>
        <v>0</v>
      </c>
      <c r="E62" s="69">
        <f t="shared" si="3"/>
        <v>0</v>
      </c>
      <c r="F62" s="68">
        <f t="shared" si="4"/>
        <v>0</v>
      </c>
      <c r="G62" s="70">
        <f t="shared" si="5"/>
        <v>0</v>
      </c>
      <c r="H62" s="52">
        <f t="shared" si="6"/>
        <v>0</v>
      </c>
      <c r="I62" s="65">
        <f t="shared" si="7"/>
        <v>0</v>
      </c>
      <c r="J62" s="65"/>
      <c r="K62" s="132"/>
      <c r="L62" s="67">
        <f t="shared" si="0"/>
        <v>0</v>
      </c>
      <c r="M62" s="132"/>
      <c r="N62" s="67">
        <f t="shared" si="1"/>
        <v>0</v>
      </c>
      <c r="O62" s="67">
        <f t="shared" si="2"/>
        <v>0</v>
      </c>
      <c r="P62" s="4"/>
    </row>
    <row r="63" spans="2:16">
      <c r="B63" s="9" t="str">
        <f t="shared" si="8"/>
        <v/>
      </c>
      <c r="C63" s="62">
        <f>IF(D11="","-",+C62+1)</f>
        <v>2070</v>
      </c>
      <c r="D63" s="71">
        <f>IF(F62+SUM(E$17:E62)=D$10,F62,D$10-SUM(E$17:E62))</f>
        <v>0</v>
      </c>
      <c r="E63" s="69">
        <f t="shared" si="3"/>
        <v>0</v>
      </c>
      <c r="F63" s="68">
        <f t="shared" si="4"/>
        <v>0</v>
      </c>
      <c r="G63" s="70">
        <f t="shared" si="5"/>
        <v>0</v>
      </c>
      <c r="H63" s="52">
        <f t="shared" si="6"/>
        <v>0</v>
      </c>
      <c r="I63" s="65">
        <f t="shared" si="7"/>
        <v>0</v>
      </c>
      <c r="J63" s="65"/>
      <c r="K63" s="132"/>
      <c r="L63" s="67">
        <f t="shared" si="0"/>
        <v>0</v>
      </c>
      <c r="M63" s="132"/>
      <c r="N63" s="67">
        <f t="shared" si="1"/>
        <v>0</v>
      </c>
      <c r="O63" s="67">
        <f t="shared" si="2"/>
        <v>0</v>
      </c>
      <c r="P63" s="4"/>
    </row>
    <row r="64" spans="2:16">
      <c r="B64" s="9" t="str">
        <f t="shared" si="8"/>
        <v/>
      </c>
      <c r="C64" s="62">
        <f>IF(D11="","-",+C63+1)</f>
        <v>2071</v>
      </c>
      <c r="D64" s="71">
        <f>IF(F63+SUM(E$17:E63)=D$10,F63,D$10-SUM(E$17:E63))</f>
        <v>0</v>
      </c>
      <c r="E64" s="69">
        <f t="shared" si="3"/>
        <v>0</v>
      </c>
      <c r="F64" s="68">
        <f t="shared" si="4"/>
        <v>0</v>
      </c>
      <c r="G64" s="70">
        <f t="shared" si="5"/>
        <v>0</v>
      </c>
      <c r="H64" s="52">
        <f t="shared" si="6"/>
        <v>0</v>
      </c>
      <c r="I64" s="65">
        <f t="shared" si="7"/>
        <v>0</v>
      </c>
      <c r="J64" s="65"/>
      <c r="K64" s="132"/>
      <c r="L64" s="67">
        <f t="shared" si="0"/>
        <v>0</v>
      </c>
      <c r="M64" s="132"/>
      <c r="N64" s="67">
        <f t="shared" si="1"/>
        <v>0</v>
      </c>
      <c r="O64" s="67">
        <f t="shared" si="2"/>
        <v>0</v>
      </c>
      <c r="P64" s="4"/>
    </row>
    <row r="65" spans="2:16">
      <c r="B65" s="9" t="str">
        <f t="shared" si="8"/>
        <v/>
      </c>
      <c r="C65" s="62">
        <f>IF(D11="","-",+C64+1)</f>
        <v>2072</v>
      </c>
      <c r="D65" s="71">
        <f>IF(F64+SUM(E$17:E64)=D$10,F64,D$10-SUM(E$17:E64))</f>
        <v>0</v>
      </c>
      <c r="E65" s="69">
        <f t="shared" si="3"/>
        <v>0</v>
      </c>
      <c r="F65" s="68">
        <f t="shared" si="4"/>
        <v>0</v>
      </c>
      <c r="G65" s="70">
        <f t="shared" si="5"/>
        <v>0</v>
      </c>
      <c r="H65" s="52">
        <f t="shared" si="6"/>
        <v>0</v>
      </c>
      <c r="I65" s="65">
        <f t="shared" si="7"/>
        <v>0</v>
      </c>
      <c r="J65" s="65"/>
      <c r="K65" s="132"/>
      <c r="L65" s="67">
        <f t="shared" si="0"/>
        <v>0</v>
      </c>
      <c r="M65" s="132"/>
      <c r="N65" s="67">
        <f t="shared" si="1"/>
        <v>0</v>
      </c>
      <c r="O65" s="67">
        <f t="shared" si="2"/>
        <v>0</v>
      </c>
      <c r="P65" s="4"/>
    </row>
    <row r="66" spans="2:16">
      <c r="B66" s="9" t="str">
        <f t="shared" si="8"/>
        <v/>
      </c>
      <c r="C66" s="62">
        <f>IF(D11="","-",+C65+1)</f>
        <v>2073</v>
      </c>
      <c r="D66" s="71">
        <f>IF(F65+SUM(E$17:E65)=D$10,F65,D$10-SUM(E$17:E65))</f>
        <v>0</v>
      </c>
      <c r="E66" s="69">
        <f t="shared" si="3"/>
        <v>0</v>
      </c>
      <c r="F66" s="68">
        <f t="shared" si="4"/>
        <v>0</v>
      </c>
      <c r="G66" s="70">
        <f t="shared" si="5"/>
        <v>0</v>
      </c>
      <c r="H66" s="52">
        <f t="shared" si="6"/>
        <v>0</v>
      </c>
      <c r="I66" s="65">
        <f t="shared" si="7"/>
        <v>0</v>
      </c>
      <c r="J66" s="65"/>
      <c r="K66" s="132"/>
      <c r="L66" s="67">
        <f t="shared" si="0"/>
        <v>0</v>
      </c>
      <c r="M66" s="132"/>
      <c r="N66" s="67">
        <f t="shared" si="1"/>
        <v>0</v>
      </c>
      <c r="O66" s="67">
        <f t="shared" si="2"/>
        <v>0</v>
      </c>
      <c r="P66" s="4"/>
    </row>
    <row r="67" spans="2:16">
      <c r="B67" s="9" t="str">
        <f t="shared" si="8"/>
        <v/>
      </c>
      <c r="C67" s="62">
        <f>IF(D11="","-",+C66+1)</f>
        <v>2074</v>
      </c>
      <c r="D67" s="71">
        <f>IF(F66+SUM(E$17:E66)=D$10,F66,D$10-SUM(E$17:E66))</f>
        <v>0</v>
      </c>
      <c r="E67" s="69">
        <f t="shared" si="3"/>
        <v>0</v>
      </c>
      <c r="F67" s="68">
        <f t="shared" si="4"/>
        <v>0</v>
      </c>
      <c r="G67" s="70">
        <f t="shared" si="5"/>
        <v>0</v>
      </c>
      <c r="H67" s="52">
        <f t="shared" si="6"/>
        <v>0</v>
      </c>
      <c r="I67" s="65">
        <f t="shared" si="7"/>
        <v>0</v>
      </c>
      <c r="J67" s="65"/>
      <c r="K67" s="132"/>
      <c r="L67" s="67">
        <f t="shared" si="0"/>
        <v>0</v>
      </c>
      <c r="M67" s="132"/>
      <c r="N67" s="67">
        <f t="shared" si="1"/>
        <v>0</v>
      </c>
      <c r="O67" s="67">
        <f t="shared" si="2"/>
        <v>0</v>
      </c>
      <c r="P67" s="4"/>
    </row>
    <row r="68" spans="2:16">
      <c r="B68" s="9" t="str">
        <f t="shared" si="8"/>
        <v/>
      </c>
      <c r="C68" s="62">
        <f>IF(D11="","-",+C67+1)</f>
        <v>2075</v>
      </c>
      <c r="D68" s="71">
        <f>IF(F67+SUM(E$17:E67)=D$10,F67,D$10-SUM(E$17:E67))</f>
        <v>0</v>
      </c>
      <c r="E68" s="69">
        <f t="shared" si="3"/>
        <v>0</v>
      </c>
      <c r="F68" s="68">
        <f t="shared" si="4"/>
        <v>0</v>
      </c>
      <c r="G68" s="70">
        <f t="shared" si="5"/>
        <v>0</v>
      </c>
      <c r="H68" s="52">
        <f t="shared" si="6"/>
        <v>0</v>
      </c>
      <c r="I68" s="65">
        <f t="shared" si="7"/>
        <v>0</v>
      </c>
      <c r="J68" s="65"/>
      <c r="K68" s="132"/>
      <c r="L68" s="67">
        <f t="shared" si="0"/>
        <v>0</v>
      </c>
      <c r="M68" s="132"/>
      <c r="N68" s="67">
        <f t="shared" si="1"/>
        <v>0</v>
      </c>
      <c r="O68" s="67">
        <f t="shared" si="2"/>
        <v>0</v>
      </c>
      <c r="P68" s="4"/>
    </row>
    <row r="69" spans="2:16">
      <c r="B69" s="9" t="str">
        <f t="shared" si="8"/>
        <v/>
      </c>
      <c r="C69" s="62">
        <f>IF(D11="","-",+C68+1)</f>
        <v>2076</v>
      </c>
      <c r="D69" s="71">
        <f>IF(F68+SUM(E$17:E68)=D$10,F68,D$10-SUM(E$17:E68))</f>
        <v>0</v>
      </c>
      <c r="E69" s="69">
        <f t="shared" si="3"/>
        <v>0</v>
      </c>
      <c r="F69" s="68">
        <f t="shared" si="4"/>
        <v>0</v>
      </c>
      <c r="G69" s="70">
        <f t="shared" si="5"/>
        <v>0</v>
      </c>
      <c r="H69" s="52">
        <f t="shared" si="6"/>
        <v>0</v>
      </c>
      <c r="I69" s="65">
        <f t="shared" si="7"/>
        <v>0</v>
      </c>
      <c r="J69" s="65"/>
      <c r="K69" s="132"/>
      <c r="L69" s="67">
        <f t="shared" si="0"/>
        <v>0</v>
      </c>
      <c r="M69" s="132"/>
      <c r="N69" s="67">
        <f t="shared" si="1"/>
        <v>0</v>
      </c>
      <c r="O69" s="67">
        <f t="shared" si="2"/>
        <v>0</v>
      </c>
      <c r="P69" s="4"/>
    </row>
    <row r="70" spans="2:16">
      <c r="B70" s="9" t="str">
        <f t="shared" si="8"/>
        <v/>
      </c>
      <c r="C70" s="62">
        <f>IF(D11="","-",+C69+1)</f>
        <v>2077</v>
      </c>
      <c r="D70" s="71">
        <f>IF(F69+SUM(E$17:E69)=D$10,F69,D$10-SUM(E$17:E69))</f>
        <v>0</v>
      </c>
      <c r="E70" s="69">
        <f t="shared" si="3"/>
        <v>0</v>
      </c>
      <c r="F70" s="68">
        <f t="shared" si="4"/>
        <v>0</v>
      </c>
      <c r="G70" s="70">
        <f t="shared" si="5"/>
        <v>0</v>
      </c>
      <c r="H70" s="52">
        <f t="shared" si="6"/>
        <v>0</v>
      </c>
      <c r="I70" s="65">
        <f t="shared" si="7"/>
        <v>0</v>
      </c>
      <c r="J70" s="65"/>
      <c r="K70" s="132"/>
      <c r="L70" s="67">
        <f t="shared" si="0"/>
        <v>0</v>
      </c>
      <c r="M70" s="132"/>
      <c r="N70" s="67">
        <f t="shared" si="1"/>
        <v>0</v>
      </c>
      <c r="O70" s="67">
        <f t="shared" si="2"/>
        <v>0</v>
      </c>
      <c r="P70" s="4"/>
    </row>
    <row r="71" spans="2:16">
      <c r="B71" s="9" t="str">
        <f t="shared" si="8"/>
        <v/>
      </c>
      <c r="C71" s="62">
        <f>IF(D11="","-",+C70+1)</f>
        <v>2078</v>
      </c>
      <c r="D71" s="71">
        <f>IF(F70+SUM(E$17:E70)=D$10,F70,D$10-SUM(E$17:E70))</f>
        <v>0</v>
      </c>
      <c r="E71" s="69">
        <f t="shared" si="3"/>
        <v>0</v>
      </c>
      <c r="F71" s="68">
        <f t="shared" si="4"/>
        <v>0</v>
      </c>
      <c r="G71" s="70">
        <f t="shared" si="5"/>
        <v>0</v>
      </c>
      <c r="H71" s="52">
        <f t="shared" si="6"/>
        <v>0</v>
      </c>
      <c r="I71" s="65">
        <f t="shared" si="7"/>
        <v>0</v>
      </c>
      <c r="J71" s="65"/>
      <c r="K71" s="132"/>
      <c r="L71" s="67">
        <f t="shared" si="0"/>
        <v>0</v>
      </c>
      <c r="M71" s="132"/>
      <c r="N71" s="67">
        <f t="shared" si="1"/>
        <v>0</v>
      </c>
      <c r="O71" s="67">
        <f t="shared" si="2"/>
        <v>0</v>
      </c>
      <c r="P71" s="4"/>
    </row>
    <row r="72" spans="2:16" ht="13.5" thickBot="1">
      <c r="B72" s="9" t="str">
        <f t="shared" si="8"/>
        <v/>
      </c>
      <c r="C72" s="72">
        <f>IF(D11="","-",+C71+1)</f>
        <v>2079</v>
      </c>
      <c r="D72" s="147">
        <f>IF(F71+SUM(E$17:E71)=D$10,F71,D$10-SUM(E$17:E71))</f>
        <v>0</v>
      </c>
      <c r="E72" s="74">
        <f>IF(+I$14&lt;F71,I$14,D72)</f>
        <v>0</v>
      </c>
      <c r="F72" s="73">
        <f>+D72-E72</f>
        <v>0</v>
      </c>
      <c r="G72" s="146">
        <f>(D72+F72)/2*I$12+E72</f>
        <v>0</v>
      </c>
      <c r="H72" s="35">
        <f>+(D72+F72)/2*I$13+E72</f>
        <v>0</v>
      </c>
      <c r="I72" s="75">
        <f>H72-G72</f>
        <v>0</v>
      </c>
      <c r="J72" s="65"/>
      <c r="K72" s="133"/>
      <c r="L72" s="76">
        <f t="shared" si="0"/>
        <v>0</v>
      </c>
      <c r="M72" s="133"/>
      <c r="N72" s="76">
        <f t="shared" si="1"/>
        <v>0</v>
      </c>
      <c r="O72" s="76">
        <f t="shared" si="2"/>
        <v>0</v>
      </c>
      <c r="P72" s="4"/>
    </row>
    <row r="73" spans="2:16">
      <c r="C73" s="63" t="s">
        <v>77</v>
      </c>
      <c r="D73" s="20"/>
      <c r="E73" s="20">
        <f>SUM(E17:E72)</f>
        <v>3910936</v>
      </c>
      <c r="F73" s="20"/>
      <c r="G73" s="20">
        <f>SUM(G17:G72)</f>
        <v>12585132.587909473</v>
      </c>
      <c r="H73" s="20">
        <f>SUM(H17:H72)</f>
        <v>12585132.587909473</v>
      </c>
      <c r="I73" s="20">
        <f>SUM(I17:I72)</f>
        <v>0</v>
      </c>
      <c r="J73" s="20"/>
      <c r="K73" s="20"/>
      <c r="L73" s="20"/>
      <c r="M73" s="20"/>
      <c r="N73" s="20"/>
      <c r="O73" s="4"/>
      <c r="P73" s="4"/>
    </row>
    <row r="74" spans="2:16">
      <c r="D74" s="2"/>
      <c r="E74" s="1"/>
      <c r="F74" s="1"/>
      <c r="G74" s="1"/>
      <c r="H74" s="3"/>
      <c r="I74" s="3"/>
      <c r="J74" s="20"/>
      <c r="K74" s="3"/>
      <c r="L74" s="3"/>
      <c r="M74" s="3"/>
      <c r="N74" s="3"/>
      <c r="O74" s="1"/>
      <c r="P74" s="1"/>
    </row>
    <row r="75" spans="2:16">
      <c r="C75" s="77" t="s">
        <v>106</v>
      </c>
      <c r="D75" s="2"/>
      <c r="E75" s="1"/>
      <c r="F75" s="1"/>
      <c r="G75" s="1"/>
      <c r="H75" s="3"/>
      <c r="I75" s="3"/>
      <c r="J75" s="20"/>
      <c r="K75" s="3"/>
      <c r="L75" s="3"/>
      <c r="M75" s="3"/>
      <c r="N75" s="3"/>
      <c r="O75" s="1"/>
      <c r="P75" s="1"/>
    </row>
    <row r="76" spans="2:16">
      <c r="C76" s="32" t="s">
        <v>78</v>
      </c>
      <c r="D76" s="2"/>
      <c r="E76" s="1"/>
      <c r="F76" s="1"/>
      <c r="G76" s="1"/>
      <c r="H76" s="3"/>
      <c r="I76" s="3"/>
      <c r="J76" s="20"/>
      <c r="K76" s="3"/>
      <c r="L76" s="3"/>
      <c r="M76" s="3"/>
      <c r="N76" s="3"/>
      <c r="O76" s="4"/>
      <c r="P76" s="4"/>
    </row>
    <row r="77" spans="2:16">
      <c r="C77" s="32" t="s">
        <v>79</v>
      </c>
      <c r="D77" s="63"/>
      <c r="E77" s="63"/>
      <c r="F77" s="63"/>
      <c r="G77" s="20"/>
      <c r="H77" s="20"/>
      <c r="I77" s="78"/>
      <c r="J77" s="78"/>
      <c r="K77" s="78"/>
      <c r="L77" s="78"/>
      <c r="M77" s="78"/>
      <c r="N77" s="78"/>
      <c r="O77" s="4"/>
      <c r="P77" s="4"/>
    </row>
    <row r="78" spans="2:16">
      <c r="C78" s="32"/>
      <c r="D78" s="63"/>
      <c r="E78" s="63"/>
      <c r="F78" s="63"/>
      <c r="G78" s="20"/>
      <c r="H78" s="20"/>
      <c r="I78" s="78"/>
      <c r="J78" s="78"/>
      <c r="K78" s="78"/>
      <c r="L78" s="78"/>
      <c r="M78" s="78"/>
      <c r="N78" s="78"/>
      <c r="O78" s="4"/>
      <c r="P78" s="1"/>
    </row>
    <row r="79" spans="2:16">
      <c r="B79" s="1"/>
      <c r="C79" s="10"/>
      <c r="D79" s="2"/>
      <c r="E79" s="1"/>
      <c r="F79" s="18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109"/>
      <c r="D80" s="2"/>
      <c r="E80" s="1"/>
      <c r="F80" s="18"/>
      <c r="G80" s="1"/>
      <c r="H80" s="3"/>
      <c r="I80" s="1"/>
      <c r="J80" s="4"/>
      <c r="K80" s="1"/>
      <c r="L80" s="1"/>
      <c r="M80" s="1"/>
      <c r="N80" s="1"/>
      <c r="P80" s="111" t="s">
        <v>144</v>
      </c>
    </row>
    <row r="81" spans="1:16">
      <c r="B81" s="1"/>
      <c r="C81" s="10"/>
      <c r="D81" s="2"/>
      <c r="E81" s="1"/>
      <c r="F81" s="18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10"/>
      <c r="D82" s="2"/>
      <c r="E82" s="1"/>
      <c r="F82" s="18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110" t="s">
        <v>146</v>
      </c>
      <c r="B83" s="1"/>
      <c r="C83" s="10"/>
      <c r="D83" s="2"/>
      <c r="E83" s="1"/>
      <c r="F83" s="15"/>
      <c r="G83" s="15"/>
      <c r="H83" s="1"/>
      <c r="I83" s="3"/>
      <c r="K83" s="7"/>
      <c r="L83" s="19"/>
      <c r="M83" s="19"/>
      <c r="P83" s="19" t="str">
        <f ca="1">P1</f>
        <v>PSO Project 32 of 33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117" t="s">
        <v>151</v>
      </c>
    </row>
    <row r="85" spans="1:16" ht="18.75" thickBot="1">
      <c r="B85" s="5" t="s">
        <v>42</v>
      </c>
      <c r="C85" s="80" t="s">
        <v>91</v>
      </c>
      <c r="D85" s="2"/>
      <c r="E85" s="1"/>
      <c r="F85" s="1"/>
      <c r="G85" s="1"/>
      <c r="H85" s="1"/>
      <c r="I85" s="3"/>
      <c r="J85" s="3"/>
      <c r="K85" s="20"/>
      <c r="L85" s="3"/>
      <c r="M85" s="3"/>
      <c r="N85" s="3"/>
      <c r="O85" s="20"/>
      <c r="P85" s="1"/>
    </row>
    <row r="86" spans="1:16" ht="15.75" thickBot="1">
      <c r="C86" s="13"/>
      <c r="D86" s="2"/>
      <c r="E86" s="1"/>
      <c r="F86" s="1"/>
      <c r="G86" s="1"/>
      <c r="H86" s="1"/>
      <c r="I86" s="3"/>
      <c r="J86" s="3"/>
      <c r="K86" s="20"/>
      <c r="L86" s="118">
        <f>+J92</f>
        <v>2022</v>
      </c>
      <c r="M86" s="119" t="s">
        <v>8</v>
      </c>
      <c r="N86" s="120" t="s">
        <v>153</v>
      </c>
      <c r="O86" s="121" t="s">
        <v>10</v>
      </c>
      <c r="P86" s="1"/>
    </row>
    <row r="87" spans="1:16" ht="15">
      <c r="C87" s="107" t="s">
        <v>44</v>
      </c>
      <c r="D87" s="2"/>
      <c r="E87" s="1"/>
      <c r="F87" s="1"/>
      <c r="G87" s="1"/>
      <c r="H87" s="22"/>
      <c r="I87" s="1" t="s">
        <v>45</v>
      </c>
      <c r="J87" s="1"/>
      <c r="K87" s="122"/>
      <c r="L87" s="123" t="s">
        <v>154</v>
      </c>
      <c r="M87" s="81">
        <f>IF(J92&lt;D11,0,VLOOKUP(J92,C17:O72,9))</f>
        <v>0</v>
      </c>
      <c r="N87" s="81">
        <f>IF(J92&lt;D11,0,VLOOKUP(J92,C17:O72,11))</f>
        <v>0</v>
      </c>
      <c r="O87" s="82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27"/>
      <c r="J88" s="27"/>
      <c r="K88" s="124"/>
      <c r="L88" s="125" t="s">
        <v>155</v>
      </c>
      <c r="M88" s="83">
        <f>IF(J92&lt;D11,0,VLOOKUP(J92,C99:P154,6))</f>
        <v>0</v>
      </c>
      <c r="N88" s="83">
        <f>IF(J92&lt;D11,0,VLOOKUP(J92,C99:P154,7))</f>
        <v>0</v>
      </c>
      <c r="O88" s="84">
        <f>+N88-M88</f>
        <v>0</v>
      </c>
      <c r="P88" s="1"/>
    </row>
    <row r="89" spans="1:16" ht="13.5" thickBot="1">
      <c r="C89" s="32" t="s">
        <v>92</v>
      </c>
      <c r="D89" s="113" t="str">
        <f>+D7</f>
        <v>Catoosa-Blue Circle rebuild</v>
      </c>
      <c r="E89" s="1"/>
      <c r="F89" s="1"/>
      <c r="G89" s="1"/>
      <c r="H89" s="1"/>
      <c r="I89" s="3"/>
      <c r="J89" s="3"/>
      <c r="K89" s="126"/>
      <c r="L89" s="127" t="s">
        <v>156</v>
      </c>
      <c r="M89" s="86">
        <f>+M88-M87</f>
        <v>0</v>
      </c>
      <c r="N89" s="86">
        <f>+N88-N87</f>
        <v>0</v>
      </c>
      <c r="O89" s="87">
        <f>+O88-O87</f>
        <v>0</v>
      </c>
      <c r="P89" s="1"/>
    </row>
    <row r="90" spans="1:16" ht="13.5" thickBot="1">
      <c r="C90" s="77"/>
      <c r="D90" s="79" t="str">
        <f>D8</f>
        <v/>
      </c>
      <c r="E90" s="18"/>
      <c r="F90" s="18"/>
      <c r="G90" s="18"/>
      <c r="H90" s="37"/>
      <c r="I90" s="3"/>
      <c r="J90" s="3"/>
      <c r="K90" s="20"/>
      <c r="L90" s="3"/>
      <c r="M90" s="3"/>
      <c r="N90" s="3"/>
      <c r="O90" s="20"/>
      <c r="P90" s="1"/>
    </row>
    <row r="91" spans="1:16" ht="13.5" thickBot="1">
      <c r="A91" s="17"/>
      <c r="C91" s="88" t="s">
        <v>93</v>
      </c>
      <c r="D91" s="105" t="str">
        <f>+D9</f>
        <v>TP2021281</v>
      </c>
      <c r="E91" s="89"/>
      <c r="F91" s="89"/>
      <c r="G91" s="89"/>
      <c r="H91" s="89"/>
      <c r="I91" s="89"/>
      <c r="J91" s="89"/>
      <c r="K91" s="90"/>
      <c r="P91" s="42"/>
    </row>
    <row r="92" spans="1:16">
      <c r="C92" s="145" t="s">
        <v>226</v>
      </c>
      <c r="D92" s="101">
        <f>IF(D11=I10,0,D10)</f>
        <v>0</v>
      </c>
      <c r="E92" s="10" t="s">
        <v>94</v>
      </c>
      <c r="H92" s="44"/>
      <c r="I92" s="44"/>
      <c r="J92" s="45">
        <f>+'PSO.WS.G.BPU.ATRR.True-up'!M16</f>
        <v>2022</v>
      </c>
      <c r="K92" s="41"/>
      <c r="L92" s="20" t="s">
        <v>95</v>
      </c>
      <c r="P92" s="4"/>
    </row>
    <row r="93" spans="1:16">
      <c r="C93" s="46" t="s">
        <v>53</v>
      </c>
      <c r="D93" s="102">
        <v>2015</v>
      </c>
      <c r="E93" s="46" t="s">
        <v>54</v>
      </c>
      <c r="F93" s="44"/>
      <c r="G93" s="44"/>
      <c r="J93" s="48">
        <f>IF(H87="",0,'PSO.WS.G.BPU.ATRR.True-up'!$F$13)</f>
        <v>0</v>
      </c>
      <c r="K93" s="49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46" t="s">
        <v>55</v>
      </c>
      <c r="D94" s="101" t="str">
        <f>IF(D11=I10,"",D12)</f>
        <v/>
      </c>
      <c r="E94" s="46" t="s">
        <v>56</v>
      </c>
      <c r="F94" s="44"/>
      <c r="G94" s="44"/>
      <c r="J94" s="50">
        <f>'PSO.WS.G.BPU.ATRR.True-up'!$F$81</f>
        <v>0.11379279303146381</v>
      </c>
      <c r="K94" s="51"/>
      <c r="L94" t="s">
        <v>96</v>
      </c>
      <c r="P94" s="4"/>
    </row>
    <row r="95" spans="1:16">
      <c r="C95" s="46" t="s">
        <v>58</v>
      </c>
      <c r="D95" s="48">
        <f>'PSO.WS.G.BPU.ATRR.True-up'!F$93</f>
        <v>41</v>
      </c>
      <c r="E95" s="46" t="s">
        <v>59</v>
      </c>
      <c r="F95" s="44"/>
      <c r="G95" s="44"/>
      <c r="J95" s="50">
        <f>IF(H87="",J94,'PSO.WS.G.BPU.ATRR.True-up'!$F$80)</f>
        <v>0.11379279303146381</v>
      </c>
      <c r="K95" s="11"/>
      <c r="L95" s="20" t="s">
        <v>60</v>
      </c>
      <c r="M95" s="11"/>
      <c r="N95" s="11"/>
      <c r="O95" s="11"/>
      <c r="P95" s="4"/>
    </row>
    <row r="96" spans="1:16" ht="13.5" thickBot="1">
      <c r="C96" s="46" t="s">
        <v>61</v>
      </c>
      <c r="D96" s="103" t="str">
        <f>+D14</f>
        <v>No</v>
      </c>
      <c r="E96" s="85" t="s">
        <v>63</v>
      </c>
      <c r="F96" s="91"/>
      <c r="G96" s="91"/>
      <c r="H96" s="92"/>
      <c r="I96" s="92"/>
      <c r="J96" s="35">
        <f>IF(D92=0,0,ROUND(D92/D95,0))</f>
        <v>0</v>
      </c>
      <c r="K96" s="20"/>
      <c r="L96" s="20"/>
      <c r="M96" s="20"/>
      <c r="N96" s="20"/>
      <c r="O96" s="20"/>
      <c r="P96" s="4"/>
    </row>
    <row r="97" spans="1:16" ht="38.25">
      <c r="A97" s="6"/>
      <c r="B97" s="6"/>
      <c r="C97" s="93" t="s">
        <v>50</v>
      </c>
      <c r="D97" s="94" t="s">
        <v>64</v>
      </c>
      <c r="E97" s="56" t="s">
        <v>65</v>
      </c>
      <c r="F97" s="56" t="s">
        <v>66</v>
      </c>
      <c r="G97" s="54" t="s">
        <v>97</v>
      </c>
      <c r="H97" s="144" t="s">
        <v>286</v>
      </c>
      <c r="I97" s="135" t="s">
        <v>287</v>
      </c>
      <c r="J97" s="93" t="s">
        <v>98</v>
      </c>
      <c r="K97" s="95"/>
      <c r="L97" s="56" t="s">
        <v>102</v>
      </c>
      <c r="M97" s="56" t="s">
        <v>99</v>
      </c>
      <c r="N97" s="56" t="s">
        <v>102</v>
      </c>
      <c r="O97" s="56" t="s">
        <v>99</v>
      </c>
      <c r="P97" s="56" t="s">
        <v>69</v>
      </c>
    </row>
    <row r="98" spans="1:16" ht="13.5" thickBot="1">
      <c r="C98" s="57" t="s">
        <v>70</v>
      </c>
      <c r="D98" s="96" t="s">
        <v>71</v>
      </c>
      <c r="E98" s="57" t="s">
        <v>72</v>
      </c>
      <c r="F98" s="57" t="s">
        <v>71</v>
      </c>
      <c r="G98" s="57" t="s">
        <v>71</v>
      </c>
      <c r="H98" s="128" t="s">
        <v>73</v>
      </c>
      <c r="I98" s="58" t="s">
        <v>74</v>
      </c>
      <c r="J98" s="59" t="s">
        <v>104</v>
      </c>
      <c r="K98" s="60"/>
      <c r="L98" s="61" t="s">
        <v>76</v>
      </c>
      <c r="M98" s="61" t="s">
        <v>76</v>
      </c>
      <c r="N98" s="61" t="s">
        <v>105</v>
      </c>
      <c r="O98" s="61" t="s">
        <v>105</v>
      </c>
      <c r="P98" s="61" t="s">
        <v>105</v>
      </c>
    </row>
    <row r="99" spans="1:16">
      <c r="C99" s="62">
        <f>IF(D93= "","-",D93)</f>
        <v>2015</v>
      </c>
      <c r="D99" s="63">
        <v>0</v>
      </c>
      <c r="E99" s="70">
        <f>IF(OR(D11=I10,D92&lt;100000),0,J$96/12*(12-D94))</f>
        <v>0</v>
      </c>
      <c r="F99" s="68">
        <f>IF(D93=C99,+D92-E99,+D99-E99)</f>
        <v>0</v>
      </c>
      <c r="G99" s="97">
        <f>+(F99+D99)/2</f>
        <v>0</v>
      </c>
      <c r="H99" s="97">
        <f>+J$94*G99+E99</f>
        <v>0</v>
      </c>
      <c r="I99" s="97">
        <f>+J$95*G99+E99</f>
        <v>0</v>
      </c>
      <c r="J99" s="67">
        <f>+I99-H99</f>
        <v>0</v>
      </c>
      <c r="K99" s="67"/>
      <c r="L99" s="131"/>
      <c r="M99" s="66">
        <f t="shared" ref="M99:M130" si="9">IF(L99&lt;&gt;0,+H99-L99,0)</f>
        <v>0</v>
      </c>
      <c r="N99" s="131"/>
      <c r="O99" s="66">
        <f t="shared" ref="O99:O130" si="10">IF(N99&lt;&gt;0,+I99-N99,0)</f>
        <v>0</v>
      </c>
      <c r="P99" s="66">
        <f t="shared" ref="P99:P130" si="11">+O99-M99</f>
        <v>0</v>
      </c>
    </row>
    <row r="100" spans="1:16">
      <c r="B100" s="9" t="str">
        <f>IF(D100=F99,"","IU")</f>
        <v/>
      </c>
      <c r="C100" s="62">
        <f>IF(D93="","-",+C99+1)</f>
        <v>2016</v>
      </c>
      <c r="D100" s="63">
        <f>IF(F99+SUM(E$99:E99)=D$92,F99,D$92-SUM(E$99:E99))</f>
        <v>0</v>
      </c>
      <c r="E100" s="69">
        <f>IF(+J$96&lt;F99,J$96,D100)</f>
        <v>0</v>
      </c>
      <c r="F100" s="68">
        <f>+D100-E100</f>
        <v>0</v>
      </c>
      <c r="G100" s="68">
        <f>+(F100+D100)/2</f>
        <v>0</v>
      </c>
      <c r="H100" s="130">
        <f t="shared" ref="H100:H154" si="12">+J$94*G100+E100</f>
        <v>0</v>
      </c>
      <c r="I100" s="139">
        <f t="shared" ref="I100:I154" si="13">+J$95*G100+E100</f>
        <v>0</v>
      </c>
      <c r="J100" s="67">
        <f t="shared" ref="J100:J130" si="14">+I100-H100</f>
        <v>0</v>
      </c>
      <c r="K100" s="67"/>
      <c r="L100" s="132"/>
      <c r="M100" s="67">
        <f t="shared" si="9"/>
        <v>0</v>
      </c>
      <c r="N100" s="132"/>
      <c r="O100" s="67">
        <f t="shared" si="10"/>
        <v>0</v>
      </c>
      <c r="P100" s="67">
        <f t="shared" si="11"/>
        <v>0</v>
      </c>
    </row>
    <row r="101" spans="1:16">
      <c r="B101" s="9" t="str">
        <f t="shared" ref="B101:B154" si="15">IF(D101=F100,"","IU")</f>
        <v/>
      </c>
      <c r="C101" s="62">
        <f>IF(D93="","-",+C100+1)</f>
        <v>2017</v>
      </c>
      <c r="D101" s="63">
        <f>IF(F100+SUM(E$99:E100)=D$92,F100,D$92-SUM(E$99:E100))</f>
        <v>0</v>
      </c>
      <c r="E101" s="69">
        <f t="shared" ref="E101:E154" si="16">IF(+J$96&lt;F100,J$96,D101)</f>
        <v>0</v>
      </c>
      <c r="F101" s="68">
        <f t="shared" ref="F101:F154" si="17">+D101-E101</f>
        <v>0</v>
      </c>
      <c r="G101" s="68">
        <f t="shared" ref="G101:G154" si="18">+(F101+D101)/2</f>
        <v>0</v>
      </c>
      <c r="H101" s="130">
        <f t="shared" si="12"/>
        <v>0</v>
      </c>
      <c r="I101" s="139">
        <f t="shared" si="13"/>
        <v>0</v>
      </c>
      <c r="J101" s="67">
        <f t="shared" si="14"/>
        <v>0</v>
      </c>
      <c r="K101" s="67"/>
      <c r="L101" s="132"/>
      <c r="M101" s="67">
        <f t="shared" si="9"/>
        <v>0</v>
      </c>
      <c r="N101" s="132"/>
      <c r="O101" s="67">
        <f t="shared" si="10"/>
        <v>0</v>
      </c>
      <c r="P101" s="67">
        <f t="shared" si="11"/>
        <v>0</v>
      </c>
    </row>
    <row r="102" spans="1:16">
      <c r="B102" s="9" t="str">
        <f t="shared" si="15"/>
        <v/>
      </c>
      <c r="C102" s="62">
        <f>IF(D93="","-",+C101+1)</f>
        <v>2018</v>
      </c>
      <c r="D102" s="63">
        <f>IF(F101+SUM(E$99:E101)=D$92,F101,D$92-SUM(E$99:E101))</f>
        <v>0</v>
      </c>
      <c r="E102" s="69">
        <f t="shared" si="16"/>
        <v>0</v>
      </c>
      <c r="F102" s="68">
        <f t="shared" si="17"/>
        <v>0</v>
      </c>
      <c r="G102" s="68">
        <f t="shared" si="18"/>
        <v>0</v>
      </c>
      <c r="H102" s="130">
        <f t="shared" si="12"/>
        <v>0</v>
      </c>
      <c r="I102" s="139">
        <f t="shared" si="13"/>
        <v>0</v>
      </c>
      <c r="J102" s="67">
        <f t="shared" si="14"/>
        <v>0</v>
      </c>
      <c r="K102" s="67"/>
      <c r="L102" s="132"/>
      <c r="M102" s="67">
        <f t="shared" si="9"/>
        <v>0</v>
      </c>
      <c r="N102" s="132"/>
      <c r="O102" s="67">
        <f t="shared" si="10"/>
        <v>0</v>
      </c>
      <c r="P102" s="67">
        <f t="shared" si="11"/>
        <v>0</v>
      </c>
    </row>
    <row r="103" spans="1:16">
      <c r="B103" s="9" t="str">
        <f t="shared" si="15"/>
        <v/>
      </c>
      <c r="C103" s="62">
        <f>IF(D93="","-",+C102+1)</f>
        <v>2019</v>
      </c>
      <c r="D103" s="63">
        <f>IF(F102+SUM(E$99:E102)=D$92,F102,D$92-SUM(E$99:E102))</f>
        <v>0</v>
      </c>
      <c r="E103" s="69">
        <f t="shared" si="16"/>
        <v>0</v>
      </c>
      <c r="F103" s="68">
        <f t="shared" si="17"/>
        <v>0</v>
      </c>
      <c r="G103" s="68">
        <f t="shared" si="18"/>
        <v>0</v>
      </c>
      <c r="H103" s="130">
        <f t="shared" si="12"/>
        <v>0</v>
      </c>
      <c r="I103" s="139">
        <f t="shared" si="13"/>
        <v>0</v>
      </c>
      <c r="J103" s="67">
        <f t="shared" si="14"/>
        <v>0</v>
      </c>
      <c r="K103" s="67"/>
      <c r="L103" s="132"/>
      <c r="M103" s="67">
        <f t="shared" si="9"/>
        <v>0</v>
      </c>
      <c r="N103" s="132"/>
      <c r="O103" s="67">
        <f t="shared" si="10"/>
        <v>0</v>
      </c>
      <c r="P103" s="67">
        <f t="shared" si="11"/>
        <v>0</v>
      </c>
    </row>
    <row r="104" spans="1:16">
      <c r="B104" s="9" t="str">
        <f t="shared" si="15"/>
        <v/>
      </c>
      <c r="C104" s="62">
        <f>IF(D93="","-",+C103+1)</f>
        <v>2020</v>
      </c>
      <c r="D104" s="63">
        <f>IF(F103+SUM(E$99:E103)=D$92,F103,D$92-SUM(E$99:E103))</f>
        <v>0</v>
      </c>
      <c r="E104" s="69">
        <f t="shared" si="16"/>
        <v>0</v>
      </c>
      <c r="F104" s="68">
        <f t="shared" si="17"/>
        <v>0</v>
      </c>
      <c r="G104" s="68">
        <f t="shared" si="18"/>
        <v>0</v>
      </c>
      <c r="H104" s="130">
        <f t="shared" si="12"/>
        <v>0</v>
      </c>
      <c r="I104" s="139">
        <f t="shared" si="13"/>
        <v>0</v>
      </c>
      <c r="J104" s="67">
        <f t="shared" si="14"/>
        <v>0</v>
      </c>
      <c r="K104" s="67"/>
      <c r="L104" s="132"/>
      <c r="M104" s="67">
        <f t="shared" si="9"/>
        <v>0</v>
      </c>
      <c r="N104" s="132"/>
      <c r="O104" s="67">
        <f t="shared" si="10"/>
        <v>0</v>
      </c>
      <c r="P104" s="67">
        <f t="shared" si="11"/>
        <v>0</v>
      </c>
    </row>
    <row r="105" spans="1:16">
      <c r="B105" s="9" t="str">
        <f t="shared" si="15"/>
        <v/>
      </c>
      <c r="C105" s="62">
        <f>IF(D93="","-",+C104+1)</f>
        <v>2021</v>
      </c>
      <c r="D105" s="63">
        <f>IF(F104+SUM(E$99:E104)=D$92,F104,D$92-SUM(E$99:E104))</f>
        <v>0</v>
      </c>
      <c r="E105" s="69">
        <f t="shared" si="16"/>
        <v>0</v>
      </c>
      <c r="F105" s="68">
        <f t="shared" si="17"/>
        <v>0</v>
      </c>
      <c r="G105" s="68">
        <f t="shared" si="18"/>
        <v>0</v>
      </c>
      <c r="H105" s="130">
        <f t="shared" si="12"/>
        <v>0</v>
      </c>
      <c r="I105" s="139">
        <f t="shared" si="13"/>
        <v>0</v>
      </c>
      <c r="J105" s="67">
        <f t="shared" si="14"/>
        <v>0</v>
      </c>
      <c r="K105" s="67"/>
      <c r="L105" s="132"/>
      <c r="M105" s="67">
        <f t="shared" si="9"/>
        <v>0</v>
      </c>
      <c r="N105" s="132"/>
      <c r="O105" s="67">
        <f t="shared" si="10"/>
        <v>0</v>
      </c>
      <c r="P105" s="67">
        <f t="shared" si="11"/>
        <v>0</v>
      </c>
    </row>
    <row r="106" spans="1:16">
      <c r="B106" s="9" t="str">
        <f t="shared" si="15"/>
        <v/>
      </c>
      <c r="C106" s="62">
        <f>IF(D93="","-",+C105+1)</f>
        <v>2022</v>
      </c>
      <c r="D106" s="63">
        <f>IF(F105+SUM(E$99:E105)=D$92,F105,D$92-SUM(E$99:E105))</f>
        <v>0</v>
      </c>
      <c r="E106" s="69">
        <f t="shared" si="16"/>
        <v>0</v>
      </c>
      <c r="F106" s="68">
        <f t="shared" si="17"/>
        <v>0</v>
      </c>
      <c r="G106" s="68">
        <f t="shared" si="18"/>
        <v>0</v>
      </c>
      <c r="H106" s="130">
        <f t="shared" si="12"/>
        <v>0</v>
      </c>
      <c r="I106" s="139">
        <f t="shared" si="13"/>
        <v>0</v>
      </c>
      <c r="J106" s="67">
        <f t="shared" si="14"/>
        <v>0</v>
      </c>
      <c r="K106" s="67"/>
      <c r="L106" s="132"/>
      <c r="M106" s="67">
        <f t="shared" si="9"/>
        <v>0</v>
      </c>
      <c r="N106" s="132"/>
      <c r="O106" s="67">
        <f t="shared" si="10"/>
        <v>0</v>
      </c>
      <c r="P106" s="67">
        <f t="shared" si="11"/>
        <v>0</v>
      </c>
    </row>
    <row r="107" spans="1:16">
      <c r="B107" s="9" t="str">
        <f t="shared" si="15"/>
        <v/>
      </c>
      <c r="C107" s="62">
        <f>IF(D93="","-",+C106+1)</f>
        <v>2023</v>
      </c>
      <c r="D107" s="63">
        <f>IF(F106+SUM(E$99:E106)=D$92,F106,D$92-SUM(E$99:E106))</f>
        <v>0</v>
      </c>
      <c r="E107" s="69">
        <f t="shared" si="16"/>
        <v>0</v>
      </c>
      <c r="F107" s="68">
        <f t="shared" si="17"/>
        <v>0</v>
      </c>
      <c r="G107" s="68">
        <f t="shared" si="18"/>
        <v>0</v>
      </c>
      <c r="H107" s="130">
        <f t="shared" si="12"/>
        <v>0</v>
      </c>
      <c r="I107" s="139">
        <f t="shared" si="13"/>
        <v>0</v>
      </c>
      <c r="J107" s="67">
        <f t="shared" si="14"/>
        <v>0</v>
      </c>
      <c r="K107" s="67"/>
      <c r="L107" s="132"/>
      <c r="M107" s="67">
        <f t="shared" si="9"/>
        <v>0</v>
      </c>
      <c r="N107" s="132"/>
      <c r="O107" s="67">
        <f t="shared" si="10"/>
        <v>0</v>
      </c>
      <c r="P107" s="67">
        <f t="shared" si="11"/>
        <v>0</v>
      </c>
    </row>
    <row r="108" spans="1:16">
      <c r="B108" s="9" t="str">
        <f t="shared" si="15"/>
        <v/>
      </c>
      <c r="C108" s="62">
        <f>IF(D93="","-",+C107+1)</f>
        <v>2024</v>
      </c>
      <c r="D108" s="63">
        <f>IF(F107+SUM(E$99:E107)=D$92,F107,D$92-SUM(E$99:E107))</f>
        <v>0</v>
      </c>
      <c r="E108" s="69">
        <f t="shared" si="16"/>
        <v>0</v>
      </c>
      <c r="F108" s="68">
        <f t="shared" si="17"/>
        <v>0</v>
      </c>
      <c r="G108" s="68">
        <f t="shared" si="18"/>
        <v>0</v>
      </c>
      <c r="H108" s="130">
        <f t="shared" si="12"/>
        <v>0</v>
      </c>
      <c r="I108" s="139">
        <f t="shared" si="13"/>
        <v>0</v>
      </c>
      <c r="J108" s="67">
        <f t="shared" si="14"/>
        <v>0</v>
      </c>
      <c r="K108" s="67"/>
      <c r="L108" s="132"/>
      <c r="M108" s="67">
        <f t="shared" si="9"/>
        <v>0</v>
      </c>
      <c r="N108" s="132"/>
      <c r="O108" s="67">
        <f t="shared" si="10"/>
        <v>0</v>
      </c>
      <c r="P108" s="67">
        <f t="shared" si="11"/>
        <v>0</v>
      </c>
    </row>
    <row r="109" spans="1:16">
      <c r="B109" s="9" t="str">
        <f t="shared" si="15"/>
        <v/>
      </c>
      <c r="C109" s="62">
        <f>IF(D93="","-",+C108+1)</f>
        <v>2025</v>
      </c>
      <c r="D109" s="63">
        <f>IF(F108+SUM(E$99:E108)=D$92,F108,D$92-SUM(E$99:E108))</f>
        <v>0</v>
      </c>
      <c r="E109" s="69">
        <f t="shared" si="16"/>
        <v>0</v>
      </c>
      <c r="F109" s="68">
        <f t="shared" si="17"/>
        <v>0</v>
      </c>
      <c r="G109" s="68">
        <f t="shared" si="18"/>
        <v>0</v>
      </c>
      <c r="H109" s="130">
        <f t="shared" si="12"/>
        <v>0</v>
      </c>
      <c r="I109" s="139">
        <f t="shared" si="13"/>
        <v>0</v>
      </c>
      <c r="J109" s="67">
        <f t="shared" si="14"/>
        <v>0</v>
      </c>
      <c r="K109" s="67"/>
      <c r="L109" s="132"/>
      <c r="M109" s="67">
        <f t="shared" si="9"/>
        <v>0</v>
      </c>
      <c r="N109" s="132"/>
      <c r="O109" s="67">
        <f t="shared" si="10"/>
        <v>0</v>
      </c>
      <c r="P109" s="67">
        <f t="shared" si="11"/>
        <v>0</v>
      </c>
    </row>
    <row r="110" spans="1:16">
      <c r="B110" s="9" t="str">
        <f t="shared" si="15"/>
        <v/>
      </c>
      <c r="C110" s="62">
        <f>IF(D93="","-",+C109+1)</f>
        <v>2026</v>
      </c>
      <c r="D110" s="63">
        <f>IF(F109+SUM(E$99:E109)=D$92,F109,D$92-SUM(E$99:E109))</f>
        <v>0</v>
      </c>
      <c r="E110" s="69">
        <f t="shared" si="16"/>
        <v>0</v>
      </c>
      <c r="F110" s="68">
        <f t="shared" si="17"/>
        <v>0</v>
      </c>
      <c r="G110" s="68">
        <f t="shared" si="18"/>
        <v>0</v>
      </c>
      <c r="H110" s="130">
        <f t="shared" si="12"/>
        <v>0</v>
      </c>
      <c r="I110" s="139">
        <f t="shared" si="13"/>
        <v>0</v>
      </c>
      <c r="J110" s="67">
        <f t="shared" si="14"/>
        <v>0</v>
      </c>
      <c r="K110" s="67"/>
      <c r="L110" s="132"/>
      <c r="M110" s="67">
        <f t="shared" si="9"/>
        <v>0</v>
      </c>
      <c r="N110" s="132"/>
      <c r="O110" s="67">
        <f t="shared" si="10"/>
        <v>0</v>
      </c>
      <c r="P110" s="67">
        <f t="shared" si="11"/>
        <v>0</v>
      </c>
    </row>
    <row r="111" spans="1:16">
      <c r="B111" s="9" t="str">
        <f t="shared" si="15"/>
        <v/>
      </c>
      <c r="C111" s="62">
        <f>IF(D93="","-",+C110+1)</f>
        <v>2027</v>
      </c>
      <c r="D111" s="63">
        <f>IF(F110+SUM(E$99:E110)=D$92,F110,D$92-SUM(E$99:E110))</f>
        <v>0</v>
      </c>
      <c r="E111" s="69">
        <f t="shared" si="16"/>
        <v>0</v>
      </c>
      <c r="F111" s="68">
        <f t="shared" si="17"/>
        <v>0</v>
      </c>
      <c r="G111" s="68">
        <f t="shared" si="18"/>
        <v>0</v>
      </c>
      <c r="H111" s="130">
        <f t="shared" si="12"/>
        <v>0</v>
      </c>
      <c r="I111" s="139">
        <f t="shared" si="13"/>
        <v>0</v>
      </c>
      <c r="J111" s="67">
        <f t="shared" si="14"/>
        <v>0</v>
      </c>
      <c r="K111" s="67"/>
      <c r="L111" s="132"/>
      <c r="M111" s="67">
        <f t="shared" si="9"/>
        <v>0</v>
      </c>
      <c r="N111" s="132"/>
      <c r="O111" s="67">
        <f t="shared" si="10"/>
        <v>0</v>
      </c>
      <c r="P111" s="67">
        <f t="shared" si="11"/>
        <v>0</v>
      </c>
    </row>
    <row r="112" spans="1:16">
      <c r="B112" s="9" t="str">
        <f t="shared" si="15"/>
        <v/>
      </c>
      <c r="C112" s="62">
        <f>IF(D93="","-",+C111+1)</f>
        <v>2028</v>
      </c>
      <c r="D112" s="63">
        <f>IF(F111+SUM(E$99:E111)=D$92,F111,D$92-SUM(E$99:E111))</f>
        <v>0</v>
      </c>
      <c r="E112" s="69">
        <f t="shared" si="16"/>
        <v>0</v>
      </c>
      <c r="F112" s="68">
        <f t="shared" si="17"/>
        <v>0</v>
      </c>
      <c r="G112" s="68">
        <f t="shared" si="18"/>
        <v>0</v>
      </c>
      <c r="H112" s="130">
        <f t="shared" si="12"/>
        <v>0</v>
      </c>
      <c r="I112" s="139">
        <f t="shared" si="13"/>
        <v>0</v>
      </c>
      <c r="J112" s="67">
        <f t="shared" si="14"/>
        <v>0</v>
      </c>
      <c r="K112" s="67"/>
      <c r="L112" s="132"/>
      <c r="M112" s="67">
        <f t="shared" si="9"/>
        <v>0</v>
      </c>
      <c r="N112" s="132"/>
      <c r="O112" s="67">
        <f t="shared" si="10"/>
        <v>0</v>
      </c>
      <c r="P112" s="67">
        <f t="shared" si="11"/>
        <v>0</v>
      </c>
    </row>
    <row r="113" spans="2:16">
      <c r="B113" s="9" t="str">
        <f t="shared" si="15"/>
        <v/>
      </c>
      <c r="C113" s="62">
        <f>IF(D93="","-",+C112+1)</f>
        <v>2029</v>
      </c>
      <c r="D113" s="63">
        <f>IF(F112+SUM(E$99:E112)=D$92,F112,D$92-SUM(E$99:E112))</f>
        <v>0</v>
      </c>
      <c r="E113" s="69">
        <f t="shared" si="16"/>
        <v>0</v>
      </c>
      <c r="F113" s="68">
        <f t="shared" si="17"/>
        <v>0</v>
      </c>
      <c r="G113" s="68">
        <f t="shared" si="18"/>
        <v>0</v>
      </c>
      <c r="H113" s="130">
        <f t="shared" si="12"/>
        <v>0</v>
      </c>
      <c r="I113" s="139">
        <f t="shared" si="13"/>
        <v>0</v>
      </c>
      <c r="J113" s="67">
        <f t="shared" si="14"/>
        <v>0</v>
      </c>
      <c r="K113" s="67"/>
      <c r="L113" s="132"/>
      <c r="M113" s="67">
        <f t="shared" si="9"/>
        <v>0</v>
      </c>
      <c r="N113" s="132"/>
      <c r="O113" s="67">
        <f t="shared" si="10"/>
        <v>0</v>
      </c>
      <c r="P113" s="67">
        <f t="shared" si="11"/>
        <v>0</v>
      </c>
    </row>
    <row r="114" spans="2:16">
      <c r="B114" s="9" t="str">
        <f t="shared" si="15"/>
        <v/>
      </c>
      <c r="C114" s="62">
        <f>IF(D93="","-",+C113+1)</f>
        <v>2030</v>
      </c>
      <c r="D114" s="63">
        <f>IF(F113+SUM(E$99:E113)=D$92,F113,D$92-SUM(E$99:E113))</f>
        <v>0</v>
      </c>
      <c r="E114" s="69">
        <f t="shared" si="16"/>
        <v>0</v>
      </c>
      <c r="F114" s="68">
        <f t="shared" si="17"/>
        <v>0</v>
      </c>
      <c r="G114" s="68">
        <f t="shared" si="18"/>
        <v>0</v>
      </c>
      <c r="H114" s="130">
        <f t="shared" si="12"/>
        <v>0</v>
      </c>
      <c r="I114" s="139">
        <f t="shared" si="13"/>
        <v>0</v>
      </c>
      <c r="J114" s="67">
        <f t="shared" si="14"/>
        <v>0</v>
      </c>
      <c r="K114" s="67"/>
      <c r="L114" s="132"/>
      <c r="M114" s="67">
        <f t="shared" si="9"/>
        <v>0</v>
      </c>
      <c r="N114" s="132"/>
      <c r="O114" s="67">
        <f t="shared" si="10"/>
        <v>0</v>
      </c>
      <c r="P114" s="67">
        <f t="shared" si="11"/>
        <v>0</v>
      </c>
    </row>
    <row r="115" spans="2:16">
      <c r="B115" s="9" t="str">
        <f t="shared" si="15"/>
        <v/>
      </c>
      <c r="C115" s="62">
        <f>IF(D93="","-",+C114+1)</f>
        <v>2031</v>
      </c>
      <c r="D115" s="63">
        <f>IF(F114+SUM(E$99:E114)=D$92,F114,D$92-SUM(E$99:E114))</f>
        <v>0</v>
      </c>
      <c r="E115" s="69">
        <f t="shared" si="16"/>
        <v>0</v>
      </c>
      <c r="F115" s="68">
        <f t="shared" si="17"/>
        <v>0</v>
      </c>
      <c r="G115" s="68">
        <f t="shared" si="18"/>
        <v>0</v>
      </c>
      <c r="H115" s="130">
        <f t="shared" si="12"/>
        <v>0</v>
      </c>
      <c r="I115" s="139">
        <f t="shared" si="13"/>
        <v>0</v>
      </c>
      <c r="J115" s="67">
        <f t="shared" si="14"/>
        <v>0</v>
      </c>
      <c r="K115" s="67"/>
      <c r="L115" s="132"/>
      <c r="M115" s="67">
        <f t="shared" si="9"/>
        <v>0</v>
      </c>
      <c r="N115" s="132"/>
      <c r="O115" s="67">
        <f t="shared" si="10"/>
        <v>0</v>
      </c>
      <c r="P115" s="67">
        <f t="shared" si="11"/>
        <v>0</v>
      </c>
    </row>
    <row r="116" spans="2:16">
      <c r="B116" s="9" t="str">
        <f t="shared" si="15"/>
        <v/>
      </c>
      <c r="C116" s="62">
        <f>IF(D93="","-",+C115+1)</f>
        <v>2032</v>
      </c>
      <c r="D116" s="63">
        <f>IF(F115+SUM(E$99:E115)=D$92,F115,D$92-SUM(E$99:E115))</f>
        <v>0</v>
      </c>
      <c r="E116" s="69">
        <f t="shared" si="16"/>
        <v>0</v>
      </c>
      <c r="F116" s="68">
        <f t="shared" si="17"/>
        <v>0</v>
      </c>
      <c r="G116" s="68">
        <f t="shared" si="18"/>
        <v>0</v>
      </c>
      <c r="H116" s="130">
        <f t="shared" si="12"/>
        <v>0</v>
      </c>
      <c r="I116" s="139">
        <f t="shared" si="13"/>
        <v>0</v>
      </c>
      <c r="J116" s="67">
        <f t="shared" si="14"/>
        <v>0</v>
      </c>
      <c r="K116" s="67"/>
      <c r="L116" s="132"/>
      <c r="M116" s="67">
        <f t="shared" si="9"/>
        <v>0</v>
      </c>
      <c r="N116" s="132"/>
      <c r="O116" s="67">
        <f t="shared" si="10"/>
        <v>0</v>
      </c>
      <c r="P116" s="67">
        <f t="shared" si="11"/>
        <v>0</v>
      </c>
    </row>
    <row r="117" spans="2:16">
      <c r="B117" s="9" t="str">
        <f t="shared" si="15"/>
        <v/>
      </c>
      <c r="C117" s="62">
        <f>IF(D93="","-",+C116+1)</f>
        <v>2033</v>
      </c>
      <c r="D117" s="63">
        <f>IF(F116+SUM(E$99:E116)=D$92,F116,D$92-SUM(E$99:E116))</f>
        <v>0</v>
      </c>
      <c r="E117" s="69">
        <f t="shared" si="16"/>
        <v>0</v>
      </c>
      <c r="F117" s="68">
        <f t="shared" si="17"/>
        <v>0</v>
      </c>
      <c r="G117" s="68">
        <f t="shared" si="18"/>
        <v>0</v>
      </c>
      <c r="H117" s="130">
        <f t="shared" si="12"/>
        <v>0</v>
      </c>
      <c r="I117" s="139">
        <f t="shared" si="13"/>
        <v>0</v>
      </c>
      <c r="J117" s="67">
        <f t="shared" si="14"/>
        <v>0</v>
      </c>
      <c r="K117" s="67"/>
      <c r="L117" s="132"/>
      <c r="M117" s="67">
        <f t="shared" si="9"/>
        <v>0</v>
      </c>
      <c r="N117" s="132"/>
      <c r="O117" s="67">
        <f t="shared" si="10"/>
        <v>0</v>
      </c>
      <c r="P117" s="67">
        <f t="shared" si="11"/>
        <v>0</v>
      </c>
    </row>
    <row r="118" spans="2:16">
      <c r="B118" s="9" t="str">
        <f t="shared" si="15"/>
        <v/>
      </c>
      <c r="C118" s="62">
        <f>IF(D93="","-",+C117+1)</f>
        <v>2034</v>
      </c>
      <c r="D118" s="63">
        <f>IF(F117+SUM(E$99:E117)=D$92,F117,D$92-SUM(E$99:E117))</f>
        <v>0</v>
      </c>
      <c r="E118" s="69">
        <f t="shared" si="16"/>
        <v>0</v>
      </c>
      <c r="F118" s="68">
        <f t="shared" si="17"/>
        <v>0</v>
      </c>
      <c r="G118" s="68">
        <f t="shared" si="18"/>
        <v>0</v>
      </c>
      <c r="H118" s="130">
        <f t="shared" si="12"/>
        <v>0</v>
      </c>
      <c r="I118" s="139">
        <f t="shared" si="13"/>
        <v>0</v>
      </c>
      <c r="J118" s="67">
        <f t="shared" si="14"/>
        <v>0</v>
      </c>
      <c r="K118" s="67"/>
      <c r="L118" s="132"/>
      <c r="M118" s="67">
        <f t="shared" si="9"/>
        <v>0</v>
      </c>
      <c r="N118" s="132"/>
      <c r="O118" s="67">
        <f t="shared" si="10"/>
        <v>0</v>
      </c>
      <c r="P118" s="67">
        <f t="shared" si="11"/>
        <v>0</v>
      </c>
    </row>
    <row r="119" spans="2:16">
      <c r="B119" s="9" t="str">
        <f t="shared" si="15"/>
        <v/>
      </c>
      <c r="C119" s="62">
        <f>IF(D93="","-",+C118+1)</f>
        <v>2035</v>
      </c>
      <c r="D119" s="63">
        <f>IF(F118+SUM(E$99:E118)=D$92,F118,D$92-SUM(E$99:E118))</f>
        <v>0</v>
      </c>
      <c r="E119" s="69">
        <f t="shared" si="16"/>
        <v>0</v>
      </c>
      <c r="F119" s="68">
        <f t="shared" si="17"/>
        <v>0</v>
      </c>
      <c r="G119" s="68">
        <f t="shared" si="18"/>
        <v>0</v>
      </c>
      <c r="H119" s="130">
        <f t="shared" si="12"/>
        <v>0</v>
      </c>
      <c r="I119" s="139">
        <f t="shared" si="13"/>
        <v>0</v>
      </c>
      <c r="J119" s="67">
        <f t="shared" si="14"/>
        <v>0</v>
      </c>
      <c r="K119" s="67"/>
      <c r="L119" s="132"/>
      <c r="M119" s="67">
        <f t="shared" si="9"/>
        <v>0</v>
      </c>
      <c r="N119" s="132"/>
      <c r="O119" s="67">
        <f t="shared" si="10"/>
        <v>0</v>
      </c>
      <c r="P119" s="67">
        <f t="shared" si="11"/>
        <v>0</v>
      </c>
    </row>
    <row r="120" spans="2:16">
      <c r="B120" s="9" t="str">
        <f t="shared" si="15"/>
        <v/>
      </c>
      <c r="C120" s="62">
        <f>IF(D93="","-",+C119+1)</f>
        <v>2036</v>
      </c>
      <c r="D120" s="63">
        <f>IF(F119+SUM(E$99:E119)=D$92,F119,D$92-SUM(E$99:E119))</f>
        <v>0</v>
      </c>
      <c r="E120" s="69">
        <f t="shared" si="16"/>
        <v>0</v>
      </c>
      <c r="F120" s="68">
        <f t="shared" si="17"/>
        <v>0</v>
      </c>
      <c r="G120" s="68">
        <f t="shared" si="18"/>
        <v>0</v>
      </c>
      <c r="H120" s="130">
        <f t="shared" si="12"/>
        <v>0</v>
      </c>
      <c r="I120" s="139">
        <f t="shared" si="13"/>
        <v>0</v>
      </c>
      <c r="J120" s="67">
        <f t="shared" si="14"/>
        <v>0</v>
      </c>
      <c r="K120" s="67"/>
      <c r="L120" s="132"/>
      <c r="M120" s="67">
        <f t="shared" si="9"/>
        <v>0</v>
      </c>
      <c r="N120" s="132"/>
      <c r="O120" s="67">
        <f t="shared" si="10"/>
        <v>0</v>
      </c>
      <c r="P120" s="67">
        <f t="shared" si="11"/>
        <v>0</v>
      </c>
    </row>
    <row r="121" spans="2:16">
      <c r="B121" s="9" t="str">
        <f t="shared" si="15"/>
        <v/>
      </c>
      <c r="C121" s="62">
        <f>IF(D93="","-",+C120+1)</f>
        <v>2037</v>
      </c>
      <c r="D121" s="63">
        <f>IF(F120+SUM(E$99:E120)=D$92,F120,D$92-SUM(E$99:E120))</f>
        <v>0</v>
      </c>
      <c r="E121" s="69">
        <f t="shared" si="16"/>
        <v>0</v>
      </c>
      <c r="F121" s="68">
        <f t="shared" si="17"/>
        <v>0</v>
      </c>
      <c r="G121" s="68">
        <f t="shared" si="18"/>
        <v>0</v>
      </c>
      <c r="H121" s="130">
        <f t="shared" si="12"/>
        <v>0</v>
      </c>
      <c r="I121" s="139">
        <f t="shared" si="13"/>
        <v>0</v>
      </c>
      <c r="J121" s="67">
        <f t="shared" si="14"/>
        <v>0</v>
      </c>
      <c r="K121" s="67"/>
      <c r="L121" s="132"/>
      <c r="M121" s="67">
        <f t="shared" si="9"/>
        <v>0</v>
      </c>
      <c r="N121" s="132"/>
      <c r="O121" s="67">
        <f t="shared" si="10"/>
        <v>0</v>
      </c>
      <c r="P121" s="67">
        <f t="shared" si="11"/>
        <v>0</v>
      </c>
    </row>
    <row r="122" spans="2:16">
      <c r="B122" s="9" t="str">
        <f t="shared" si="15"/>
        <v/>
      </c>
      <c r="C122" s="62">
        <f>IF(D93="","-",+C121+1)</f>
        <v>2038</v>
      </c>
      <c r="D122" s="63">
        <f>IF(F121+SUM(E$99:E121)=D$92,F121,D$92-SUM(E$99:E121))</f>
        <v>0</v>
      </c>
      <c r="E122" s="69">
        <f t="shared" si="16"/>
        <v>0</v>
      </c>
      <c r="F122" s="68">
        <f t="shared" si="17"/>
        <v>0</v>
      </c>
      <c r="G122" s="68">
        <f t="shared" si="18"/>
        <v>0</v>
      </c>
      <c r="H122" s="130">
        <f t="shared" si="12"/>
        <v>0</v>
      </c>
      <c r="I122" s="139">
        <f t="shared" si="13"/>
        <v>0</v>
      </c>
      <c r="J122" s="67">
        <f t="shared" si="14"/>
        <v>0</v>
      </c>
      <c r="K122" s="67"/>
      <c r="L122" s="132"/>
      <c r="M122" s="67">
        <f t="shared" si="9"/>
        <v>0</v>
      </c>
      <c r="N122" s="132"/>
      <c r="O122" s="67">
        <f t="shared" si="10"/>
        <v>0</v>
      </c>
      <c r="P122" s="67">
        <f t="shared" si="11"/>
        <v>0</v>
      </c>
    </row>
    <row r="123" spans="2:16">
      <c r="B123" s="9" t="str">
        <f t="shared" si="15"/>
        <v/>
      </c>
      <c r="C123" s="62">
        <f>IF(D93="","-",+C122+1)</f>
        <v>2039</v>
      </c>
      <c r="D123" s="63">
        <f>IF(F122+SUM(E$99:E122)=D$92,F122,D$92-SUM(E$99:E122))</f>
        <v>0</v>
      </c>
      <c r="E123" s="69">
        <f t="shared" si="16"/>
        <v>0</v>
      </c>
      <c r="F123" s="68">
        <f t="shared" si="17"/>
        <v>0</v>
      </c>
      <c r="G123" s="68">
        <f t="shared" si="18"/>
        <v>0</v>
      </c>
      <c r="H123" s="130">
        <f t="shared" si="12"/>
        <v>0</v>
      </c>
      <c r="I123" s="139">
        <f t="shared" si="13"/>
        <v>0</v>
      </c>
      <c r="J123" s="67">
        <f t="shared" si="14"/>
        <v>0</v>
      </c>
      <c r="K123" s="67"/>
      <c r="L123" s="132"/>
      <c r="M123" s="67">
        <f t="shared" si="9"/>
        <v>0</v>
      </c>
      <c r="N123" s="132"/>
      <c r="O123" s="67">
        <f t="shared" si="10"/>
        <v>0</v>
      </c>
      <c r="P123" s="67">
        <f t="shared" si="11"/>
        <v>0</v>
      </c>
    </row>
    <row r="124" spans="2:16">
      <c r="B124" s="9" t="str">
        <f t="shared" si="15"/>
        <v/>
      </c>
      <c r="C124" s="62">
        <f>IF(D93="","-",+C123+1)</f>
        <v>2040</v>
      </c>
      <c r="D124" s="63">
        <f>IF(F123+SUM(E$99:E123)=D$92,F123,D$92-SUM(E$99:E123))</f>
        <v>0</v>
      </c>
      <c r="E124" s="69">
        <f t="shared" si="16"/>
        <v>0</v>
      </c>
      <c r="F124" s="68">
        <f t="shared" si="17"/>
        <v>0</v>
      </c>
      <c r="G124" s="68">
        <f t="shared" si="18"/>
        <v>0</v>
      </c>
      <c r="H124" s="130">
        <f t="shared" si="12"/>
        <v>0</v>
      </c>
      <c r="I124" s="139">
        <f t="shared" si="13"/>
        <v>0</v>
      </c>
      <c r="J124" s="67">
        <f t="shared" si="14"/>
        <v>0</v>
      </c>
      <c r="K124" s="67"/>
      <c r="L124" s="132"/>
      <c r="M124" s="67">
        <f t="shared" si="9"/>
        <v>0</v>
      </c>
      <c r="N124" s="132"/>
      <c r="O124" s="67">
        <f t="shared" si="10"/>
        <v>0</v>
      </c>
      <c r="P124" s="67">
        <f t="shared" si="11"/>
        <v>0</v>
      </c>
    </row>
    <row r="125" spans="2:16">
      <c r="B125" s="9" t="str">
        <f t="shared" si="15"/>
        <v/>
      </c>
      <c r="C125" s="62">
        <f>IF(D93="","-",+C124+1)</f>
        <v>2041</v>
      </c>
      <c r="D125" s="63">
        <f>IF(F124+SUM(E$99:E124)=D$92,F124,D$92-SUM(E$99:E124))</f>
        <v>0</v>
      </c>
      <c r="E125" s="69">
        <f t="shared" si="16"/>
        <v>0</v>
      </c>
      <c r="F125" s="68">
        <f t="shared" si="17"/>
        <v>0</v>
      </c>
      <c r="G125" s="68">
        <f t="shared" si="18"/>
        <v>0</v>
      </c>
      <c r="H125" s="130">
        <f t="shared" si="12"/>
        <v>0</v>
      </c>
      <c r="I125" s="139">
        <f t="shared" si="13"/>
        <v>0</v>
      </c>
      <c r="J125" s="67">
        <f t="shared" si="14"/>
        <v>0</v>
      </c>
      <c r="K125" s="67"/>
      <c r="L125" s="132"/>
      <c r="M125" s="67">
        <f t="shared" si="9"/>
        <v>0</v>
      </c>
      <c r="N125" s="132"/>
      <c r="O125" s="67">
        <f t="shared" si="10"/>
        <v>0</v>
      </c>
      <c r="P125" s="67">
        <f t="shared" si="11"/>
        <v>0</v>
      </c>
    </row>
    <row r="126" spans="2:16">
      <c r="B126" s="9" t="str">
        <f t="shared" si="15"/>
        <v/>
      </c>
      <c r="C126" s="62">
        <f>IF(D93="","-",+C125+1)</f>
        <v>2042</v>
      </c>
      <c r="D126" s="63">
        <f>IF(F125+SUM(E$99:E125)=D$92,F125,D$92-SUM(E$99:E125))</f>
        <v>0</v>
      </c>
      <c r="E126" s="69">
        <f t="shared" si="16"/>
        <v>0</v>
      </c>
      <c r="F126" s="68">
        <f t="shared" si="17"/>
        <v>0</v>
      </c>
      <c r="G126" s="68">
        <f t="shared" si="18"/>
        <v>0</v>
      </c>
      <c r="H126" s="130">
        <f t="shared" si="12"/>
        <v>0</v>
      </c>
      <c r="I126" s="139">
        <f t="shared" si="13"/>
        <v>0</v>
      </c>
      <c r="J126" s="67">
        <f t="shared" si="14"/>
        <v>0</v>
      </c>
      <c r="K126" s="67"/>
      <c r="L126" s="132"/>
      <c r="M126" s="67">
        <f t="shared" si="9"/>
        <v>0</v>
      </c>
      <c r="N126" s="132"/>
      <c r="O126" s="67">
        <f t="shared" si="10"/>
        <v>0</v>
      </c>
      <c r="P126" s="67">
        <f t="shared" si="11"/>
        <v>0</v>
      </c>
    </row>
    <row r="127" spans="2:16">
      <c r="B127" s="9" t="str">
        <f t="shared" si="15"/>
        <v/>
      </c>
      <c r="C127" s="62">
        <f>IF(D93="","-",+C126+1)</f>
        <v>2043</v>
      </c>
      <c r="D127" s="63">
        <f>IF(F126+SUM(E$99:E126)=D$92,F126,D$92-SUM(E$99:E126))</f>
        <v>0</v>
      </c>
      <c r="E127" s="69">
        <f t="shared" si="16"/>
        <v>0</v>
      </c>
      <c r="F127" s="68">
        <f t="shared" si="17"/>
        <v>0</v>
      </c>
      <c r="G127" s="68">
        <f t="shared" si="18"/>
        <v>0</v>
      </c>
      <c r="H127" s="130">
        <f t="shared" si="12"/>
        <v>0</v>
      </c>
      <c r="I127" s="139">
        <f t="shared" si="13"/>
        <v>0</v>
      </c>
      <c r="J127" s="67">
        <f t="shared" si="14"/>
        <v>0</v>
      </c>
      <c r="K127" s="67"/>
      <c r="L127" s="132"/>
      <c r="M127" s="67">
        <f t="shared" si="9"/>
        <v>0</v>
      </c>
      <c r="N127" s="132"/>
      <c r="O127" s="67">
        <f t="shared" si="10"/>
        <v>0</v>
      </c>
      <c r="P127" s="67">
        <f t="shared" si="11"/>
        <v>0</v>
      </c>
    </row>
    <row r="128" spans="2:16">
      <c r="B128" s="9" t="str">
        <f t="shared" si="15"/>
        <v/>
      </c>
      <c r="C128" s="62">
        <f>IF(D93="","-",+C127+1)</f>
        <v>2044</v>
      </c>
      <c r="D128" s="63">
        <f>IF(F127+SUM(E$99:E127)=D$92,F127,D$92-SUM(E$99:E127))</f>
        <v>0</v>
      </c>
      <c r="E128" s="69">
        <f t="shared" si="16"/>
        <v>0</v>
      </c>
      <c r="F128" s="68">
        <f t="shared" si="17"/>
        <v>0</v>
      </c>
      <c r="G128" s="68">
        <f t="shared" si="18"/>
        <v>0</v>
      </c>
      <c r="H128" s="130">
        <f t="shared" si="12"/>
        <v>0</v>
      </c>
      <c r="I128" s="139">
        <f t="shared" si="13"/>
        <v>0</v>
      </c>
      <c r="J128" s="67">
        <f t="shared" si="14"/>
        <v>0</v>
      </c>
      <c r="K128" s="67"/>
      <c r="L128" s="132"/>
      <c r="M128" s="67">
        <f t="shared" si="9"/>
        <v>0</v>
      </c>
      <c r="N128" s="132"/>
      <c r="O128" s="67">
        <f t="shared" si="10"/>
        <v>0</v>
      </c>
      <c r="P128" s="67">
        <f t="shared" si="11"/>
        <v>0</v>
      </c>
    </row>
    <row r="129" spans="2:16">
      <c r="B129" s="9" t="str">
        <f t="shared" si="15"/>
        <v/>
      </c>
      <c r="C129" s="62">
        <f>IF(D93="","-",+C128+1)</f>
        <v>2045</v>
      </c>
      <c r="D129" s="63">
        <f>IF(F128+SUM(E$99:E128)=D$92,F128,D$92-SUM(E$99:E128))</f>
        <v>0</v>
      </c>
      <c r="E129" s="69">
        <f t="shared" si="16"/>
        <v>0</v>
      </c>
      <c r="F129" s="68">
        <f t="shared" si="17"/>
        <v>0</v>
      </c>
      <c r="G129" s="68">
        <f t="shared" si="18"/>
        <v>0</v>
      </c>
      <c r="H129" s="130">
        <f t="shared" si="12"/>
        <v>0</v>
      </c>
      <c r="I129" s="139">
        <f t="shared" si="13"/>
        <v>0</v>
      </c>
      <c r="J129" s="67">
        <f t="shared" si="14"/>
        <v>0</v>
      </c>
      <c r="K129" s="67"/>
      <c r="L129" s="132"/>
      <c r="M129" s="67">
        <f t="shared" si="9"/>
        <v>0</v>
      </c>
      <c r="N129" s="132"/>
      <c r="O129" s="67">
        <f t="shared" si="10"/>
        <v>0</v>
      </c>
      <c r="P129" s="67">
        <f t="shared" si="11"/>
        <v>0</v>
      </c>
    </row>
    <row r="130" spans="2:16">
      <c r="B130" s="9" t="str">
        <f t="shared" si="15"/>
        <v/>
      </c>
      <c r="C130" s="62">
        <f>IF(D93="","-",+C129+1)</f>
        <v>2046</v>
      </c>
      <c r="D130" s="63">
        <f>IF(F129+SUM(E$99:E129)=D$92,F129,D$92-SUM(E$99:E129))</f>
        <v>0</v>
      </c>
      <c r="E130" s="69">
        <f t="shared" si="16"/>
        <v>0</v>
      </c>
      <c r="F130" s="68">
        <f t="shared" si="17"/>
        <v>0</v>
      </c>
      <c r="G130" s="68">
        <f t="shared" si="18"/>
        <v>0</v>
      </c>
      <c r="H130" s="130">
        <f t="shared" si="12"/>
        <v>0</v>
      </c>
      <c r="I130" s="139">
        <f t="shared" si="13"/>
        <v>0</v>
      </c>
      <c r="J130" s="67">
        <f t="shared" si="14"/>
        <v>0</v>
      </c>
      <c r="K130" s="67"/>
      <c r="L130" s="132"/>
      <c r="M130" s="67">
        <f t="shared" si="9"/>
        <v>0</v>
      </c>
      <c r="N130" s="132"/>
      <c r="O130" s="67">
        <f t="shared" si="10"/>
        <v>0</v>
      </c>
      <c r="P130" s="67">
        <f t="shared" si="11"/>
        <v>0</v>
      </c>
    </row>
    <row r="131" spans="2:16">
      <c r="B131" s="9" t="str">
        <f t="shared" si="15"/>
        <v/>
      </c>
      <c r="C131" s="62">
        <f>IF(D93="","-",+C130+1)</f>
        <v>2047</v>
      </c>
      <c r="D131" s="63">
        <f>IF(F130+SUM(E$99:E130)=D$92,F130,D$92-SUM(E$99:E130))</f>
        <v>0</v>
      </c>
      <c r="E131" s="69">
        <f t="shared" si="16"/>
        <v>0</v>
      </c>
      <c r="F131" s="68">
        <f t="shared" si="17"/>
        <v>0</v>
      </c>
      <c r="G131" s="68">
        <f t="shared" si="18"/>
        <v>0</v>
      </c>
      <c r="H131" s="130">
        <f t="shared" si="12"/>
        <v>0</v>
      </c>
      <c r="I131" s="139">
        <f t="shared" si="13"/>
        <v>0</v>
      </c>
      <c r="J131" s="67">
        <f t="shared" ref="J131:J154" si="19">+I541-H541</f>
        <v>0</v>
      </c>
      <c r="K131" s="67"/>
      <c r="L131" s="132"/>
      <c r="M131" s="67">
        <f t="shared" ref="M131:M154" si="20">IF(L541&lt;&gt;0,+H541-L541,0)</f>
        <v>0</v>
      </c>
      <c r="N131" s="132"/>
      <c r="O131" s="67">
        <f t="shared" ref="O131:O154" si="21">IF(N541&lt;&gt;0,+I541-N541,0)</f>
        <v>0</v>
      </c>
      <c r="P131" s="67">
        <f t="shared" ref="P131:P154" si="22">+O541-M541</f>
        <v>0</v>
      </c>
    </row>
    <row r="132" spans="2:16">
      <c r="B132" s="9" t="str">
        <f t="shared" si="15"/>
        <v/>
      </c>
      <c r="C132" s="62">
        <f>IF(D93="","-",+C131+1)</f>
        <v>2048</v>
      </c>
      <c r="D132" s="63">
        <f>IF(F131+SUM(E$99:E131)=D$92,F131,D$92-SUM(E$99:E131))</f>
        <v>0</v>
      </c>
      <c r="E132" s="69">
        <f t="shared" si="16"/>
        <v>0</v>
      </c>
      <c r="F132" s="68">
        <f t="shared" si="17"/>
        <v>0</v>
      </c>
      <c r="G132" s="68">
        <f t="shared" si="18"/>
        <v>0</v>
      </c>
      <c r="H132" s="130">
        <f t="shared" si="12"/>
        <v>0</v>
      </c>
      <c r="I132" s="139">
        <f t="shared" si="13"/>
        <v>0</v>
      </c>
      <c r="J132" s="67">
        <f t="shared" si="19"/>
        <v>0</v>
      </c>
      <c r="K132" s="67"/>
      <c r="L132" s="132"/>
      <c r="M132" s="67">
        <f t="shared" si="20"/>
        <v>0</v>
      </c>
      <c r="N132" s="132"/>
      <c r="O132" s="67">
        <f t="shared" si="21"/>
        <v>0</v>
      </c>
      <c r="P132" s="67">
        <f t="shared" si="22"/>
        <v>0</v>
      </c>
    </row>
    <row r="133" spans="2:16">
      <c r="B133" s="9" t="str">
        <f t="shared" si="15"/>
        <v/>
      </c>
      <c r="C133" s="62">
        <f>IF(D93="","-",+C132+1)</f>
        <v>2049</v>
      </c>
      <c r="D133" s="63">
        <f>IF(F132+SUM(E$99:E132)=D$92,F132,D$92-SUM(E$99:E132))</f>
        <v>0</v>
      </c>
      <c r="E133" s="69">
        <f t="shared" si="16"/>
        <v>0</v>
      </c>
      <c r="F133" s="68">
        <f t="shared" si="17"/>
        <v>0</v>
      </c>
      <c r="G133" s="68">
        <f t="shared" si="18"/>
        <v>0</v>
      </c>
      <c r="H133" s="130">
        <f t="shared" si="12"/>
        <v>0</v>
      </c>
      <c r="I133" s="139">
        <f t="shared" si="13"/>
        <v>0</v>
      </c>
      <c r="J133" s="67">
        <f t="shared" si="19"/>
        <v>0</v>
      </c>
      <c r="K133" s="67"/>
      <c r="L133" s="132"/>
      <c r="M133" s="67">
        <f t="shared" si="20"/>
        <v>0</v>
      </c>
      <c r="N133" s="132"/>
      <c r="O133" s="67">
        <f t="shared" si="21"/>
        <v>0</v>
      </c>
      <c r="P133" s="67">
        <f t="shared" si="22"/>
        <v>0</v>
      </c>
    </row>
    <row r="134" spans="2:16">
      <c r="B134" s="9" t="str">
        <f t="shared" si="15"/>
        <v/>
      </c>
      <c r="C134" s="62">
        <f>IF(D93="","-",+C133+1)</f>
        <v>2050</v>
      </c>
      <c r="D134" s="63">
        <f>IF(F133+SUM(E$99:E133)=D$92,F133,D$92-SUM(E$99:E133))</f>
        <v>0</v>
      </c>
      <c r="E134" s="69">
        <f t="shared" si="16"/>
        <v>0</v>
      </c>
      <c r="F134" s="68">
        <f t="shared" si="17"/>
        <v>0</v>
      </c>
      <c r="G134" s="68">
        <f t="shared" si="18"/>
        <v>0</v>
      </c>
      <c r="H134" s="130">
        <f t="shared" si="12"/>
        <v>0</v>
      </c>
      <c r="I134" s="139">
        <f t="shared" si="13"/>
        <v>0</v>
      </c>
      <c r="J134" s="67">
        <f t="shared" si="19"/>
        <v>0</v>
      </c>
      <c r="K134" s="67"/>
      <c r="L134" s="132"/>
      <c r="M134" s="67">
        <f t="shared" si="20"/>
        <v>0</v>
      </c>
      <c r="N134" s="132"/>
      <c r="O134" s="67">
        <f t="shared" si="21"/>
        <v>0</v>
      </c>
      <c r="P134" s="67">
        <f t="shared" si="22"/>
        <v>0</v>
      </c>
    </row>
    <row r="135" spans="2:16">
      <c r="B135" s="9" t="str">
        <f t="shared" si="15"/>
        <v/>
      </c>
      <c r="C135" s="62">
        <f>IF(D93="","-",+C134+1)</f>
        <v>2051</v>
      </c>
      <c r="D135" s="63">
        <f>IF(F134+SUM(E$99:E134)=D$92,F134,D$92-SUM(E$99:E134))</f>
        <v>0</v>
      </c>
      <c r="E135" s="69">
        <f t="shared" si="16"/>
        <v>0</v>
      </c>
      <c r="F135" s="68">
        <f t="shared" si="17"/>
        <v>0</v>
      </c>
      <c r="G135" s="68">
        <f t="shared" si="18"/>
        <v>0</v>
      </c>
      <c r="H135" s="130">
        <f t="shared" si="12"/>
        <v>0</v>
      </c>
      <c r="I135" s="139">
        <f t="shared" si="13"/>
        <v>0</v>
      </c>
      <c r="J135" s="67">
        <f t="shared" si="19"/>
        <v>0</v>
      </c>
      <c r="K135" s="67"/>
      <c r="L135" s="132"/>
      <c r="M135" s="67">
        <f t="shared" si="20"/>
        <v>0</v>
      </c>
      <c r="N135" s="132"/>
      <c r="O135" s="67">
        <f t="shared" si="21"/>
        <v>0</v>
      </c>
      <c r="P135" s="67">
        <f t="shared" si="22"/>
        <v>0</v>
      </c>
    </row>
    <row r="136" spans="2:16">
      <c r="B136" s="9" t="str">
        <f t="shared" si="15"/>
        <v/>
      </c>
      <c r="C136" s="62">
        <f>IF(D93="","-",+C135+1)</f>
        <v>2052</v>
      </c>
      <c r="D136" s="63">
        <f>IF(F135+SUM(E$99:E135)=D$92,F135,D$92-SUM(E$99:E135))</f>
        <v>0</v>
      </c>
      <c r="E136" s="69">
        <f t="shared" si="16"/>
        <v>0</v>
      </c>
      <c r="F136" s="68">
        <f t="shared" si="17"/>
        <v>0</v>
      </c>
      <c r="G136" s="68">
        <f t="shared" si="18"/>
        <v>0</v>
      </c>
      <c r="H136" s="130">
        <f t="shared" si="12"/>
        <v>0</v>
      </c>
      <c r="I136" s="139">
        <f t="shared" si="13"/>
        <v>0</v>
      </c>
      <c r="J136" s="67">
        <f t="shared" si="19"/>
        <v>0</v>
      </c>
      <c r="K136" s="67"/>
      <c r="L136" s="132"/>
      <c r="M136" s="67">
        <f t="shared" si="20"/>
        <v>0</v>
      </c>
      <c r="N136" s="132"/>
      <c r="O136" s="67">
        <f t="shared" si="21"/>
        <v>0</v>
      </c>
      <c r="P136" s="67">
        <f t="shared" si="22"/>
        <v>0</v>
      </c>
    </row>
    <row r="137" spans="2:16">
      <c r="B137" s="9" t="str">
        <f t="shared" si="15"/>
        <v/>
      </c>
      <c r="C137" s="62">
        <f>IF(D93="","-",+C136+1)</f>
        <v>2053</v>
      </c>
      <c r="D137" s="63">
        <f>IF(F136+SUM(E$99:E136)=D$92,F136,D$92-SUM(E$99:E136))</f>
        <v>0</v>
      </c>
      <c r="E137" s="69">
        <f t="shared" si="16"/>
        <v>0</v>
      </c>
      <c r="F137" s="68">
        <f t="shared" si="17"/>
        <v>0</v>
      </c>
      <c r="G137" s="68">
        <f t="shared" si="18"/>
        <v>0</v>
      </c>
      <c r="H137" s="130">
        <f t="shared" si="12"/>
        <v>0</v>
      </c>
      <c r="I137" s="139">
        <f t="shared" si="13"/>
        <v>0</v>
      </c>
      <c r="J137" s="67">
        <f t="shared" si="19"/>
        <v>0</v>
      </c>
      <c r="K137" s="67"/>
      <c r="L137" s="132"/>
      <c r="M137" s="67">
        <f t="shared" si="20"/>
        <v>0</v>
      </c>
      <c r="N137" s="132"/>
      <c r="O137" s="67">
        <f t="shared" si="21"/>
        <v>0</v>
      </c>
      <c r="P137" s="67">
        <f t="shared" si="22"/>
        <v>0</v>
      </c>
    </row>
    <row r="138" spans="2:16">
      <c r="B138" s="9" t="str">
        <f t="shared" si="15"/>
        <v/>
      </c>
      <c r="C138" s="62">
        <f>IF(D93="","-",+C137+1)</f>
        <v>2054</v>
      </c>
      <c r="D138" s="63">
        <f>IF(F137+SUM(E$99:E137)=D$92,F137,D$92-SUM(E$99:E137))</f>
        <v>0</v>
      </c>
      <c r="E138" s="69">
        <f t="shared" si="16"/>
        <v>0</v>
      </c>
      <c r="F138" s="68">
        <f t="shared" si="17"/>
        <v>0</v>
      </c>
      <c r="G138" s="68">
        <f t="shared" si="18"/>
        <v>0</v>
      </c>
      <c r="H138" s="130">
        <f t="shared" si="12"/>
        <v>0</v>
      </c>
      <c r="I138" s="139">
        <f t="shared" si="13"/>
        <v>0</v>
      </c>
      <c r="J138" s="67">
        <f t="shared" si="19"/>
        <v>0</v>
      </c>
      <c r="K138" s="67"/>
      <c r="L138" s="132"/>
      <c r="M138" s="67">
        <f t="shared" si="20"/>
        <v>0</v>
      </c>
      <c r="N138" s="132"/>
      <c r="O138" s="67">
        <f t="shared" si="21"/>
        <v>0</v>
      </c>
      <c r="P138" s="67">
        <f t="shared" si="22"/>
        <v>0</v>
      </c>
    </row>
    <row r="139" spans="2:16">
      <c r="B139" s="9" t="str">
        <f t="shared" si="15"/>
        <v/>
      </c>
      <c r="C139" s="62">
        <f>IF(D93="","-",+C138+1)</f>
        <v>2055</v>
      </c>
      <c r="D139" s="63">
        <f>IF(F138+SUM(E$99:E138)=D$92,F138,D$92-SUM(E$99:E138))</f>
        <v>0</v>
      </c>
      <c r="E139" s="69">
        <f t="shared" si="16"/>
        <v>0</v>
      </c>
      <c r="F139" s="68">
        <f t="shared" si="17"/>
        <v>0</v>
      </c>
      <c r="G139" s="68">
        <f t="shared" si="18"/>
        <v>0</v>
      </c>
      <c r="H139" s="130">
        <f t="shared" si="12"/>
        <v>0</v>
      </c>
      <c r="I139" s="139">
        <f t="shared" si="13"/>
        <v>0</v>
      </c>
      <c r="J139" s="67">
        <f t="shared" si="19"/>
        <v>0</v>
      </c>
      <c r="K139" s="67"/>
      <c r="L139" s="132"/>
      <c r="M139" s="67">
        <f t="shared" si="20"/>
        <v>0</v>
      </c>
      <c r="N139" s="132"/>
      <c r="O139" s="67">
        <f t="shared" si="21"/>
        <v>0</v>
      </c>
      <c r="P139" s="67">
        <f t="shared" si="22"/>
        <v>0</v>
      </c>
    </row>
    <row r="140" spans="2:16">
      <c r="B140" s="9" t="str">
        <f t="shared" si="15"/>
        <v/>
      </c>
      <c r="C140" s="62">
        <f>IF(D93="","-",+C139+1)</f>
        <v>2056</v>
      </c>
      <c r="D140" s="63">
        <f>IF(F139+SUM(E$99:E139)=D$92,F139,D$92-SUM(E$99:E139))</f>
        <v>0</v>
      </c>
      <c r="E140" s="69">
        <f t="shared" si="16"/>
        <v>0</v>
      </c>
      <c r="F140" s="68">
        <f t="shared" si="17"/>
        <v>0</v>
      </c>
      <c r="G140" s="68">
        <f t="shared" si="18"/>
        <v>0</v>
      </c>
      <c r="H140" s="130">
        <f t="shared" si="12"/>
        <v>0</v>
      </c>
      <c r="I140" s="139">
        <f t="shared" si="13"/>
        <v>0</v>
      </c>
      <c r="J140" s="67">
        <f t="shared" si="19"/>
        <v>0</v>
      </c>
      <c r="K140" s="67"/>
      <c r="L140" s="132"/>
      <c r="M140" s="67">
        <f t="shared" si="20"/>
        <v>0</v>
      </c>
      <c r="N140" s="132"/>
      <c r="O140" s="67">
        <f t="shared" si="21"/>
        <v>0</v>
      </c>
      <c r="P140" s="67">
        <f t="shared" si="22"/>
        <v>0</v>
      </c>
    </row>
    <row r="141" spans="2:16">
      <c r="B141" s="9" t="str">
        <f t="shared" si="15"/>
        <v/>
      </c>
      <c r="C141" s="62">
        <f>IF(D93="","-",+C140+1)</f>
        <v>2057</v>
      </c>
      <c r="D141" s="63">
        <f>IF(F140+SUM(E$99:E140)=D$92,F140,D$92-SUM(E$99:E140))</f>
        <v>0</v>
      </c>
      <c r="E141" s="69">
        <f t="shared" si="16"/>
        <v>0</v>
      </c>
      <c r="F141" s="68">
        <f t="shared" si="17"/>
        <v>0</v>
      </c>
      <c r="G141" s="68">
        <f t="shared" si="18"/>
        <v>0</v>
      </c>
      <c r="H141" s="130">
        <f t="shared" si="12"/>
        <v>0</v>
      </c>
      <c r="I141" s="139">
        <f t="shared" si="13"/>
        <v>0</v>
      </c>
      <c r="J141" s="67">
        <f t="shared" si="19"/>
        <v>0</v>
      </c>
      <c r="K141" s="67"/>
      <c r="L141" s="132"/>
      <c r="M141" s="67">
        <f t="shared" si="20"/>
        <v>0</v>
      </c>
      <c r="N141" s="132"/>
      <c r="O141" s="67">
        <f t="shared" si="21"/>
        <v>0</v>
      </c>
      <c r="P141" s="67">
        <f t="shared" si="22"/>
        <v>0</v>
      </c>
    </row>
    <row r="142" spans="2:16">
      <c r="B142" s="9" t="str">
        <f t="shared" si="15"/>
        <v/>
      </c>
      <c r="C142" s="62">
        <f>IF(D93="","-",+C141+1)</f>
        <v>2058</v>
      </c>
      <c r="D142" s="63">
        <f>IF(F141+SUM(E$99:E141)=D$92,F141,D$92-SUM(E$99:E141))</f>
        <v>0</v>
      </c>
      <c r="E142" s="69">
        <f t="shared" si="16"/>
        <v>0</v>
      </c>
      <c r="F142" s="68">
        <f t="shared" si="17"/>
        <v>0</v>
      </c>
      <c r="G142" s="68">
        <f t="shared" si="18"/>
        <v>0</v>
      </c>
      <c r="H142" s="130">
        <f t="shared" si="12"/>
        <v>0</v>
      </c>
      <c r="I142" s="139">
        <f t="shared" si="13"/>
        <v>0</v>
      </c>
      <c r="J142" s="67">
        <f t="shared" si="19"/>
        <v>0</v>
      </c>
      <c r="K142" s="67"/>
      <c r="L142" s="132"/>
      <c r="M142" s="67">
        <f t="shared" si="20"/>
        <v>0</v>
      </c>
      <c r="N142" s="132"/>
      <c r="O142" s="67">
        <f t="shared" si="21"/>
        <v>0</v>
      </c>
      <c r="P142" s="67">
        <f t="shared" si="22"/>
        <v>0</v>
      </c>
    </row>
    <row r="143" spans="2:16">
      <c r="B143" s="9" t="str">
        <f t="shared" si="15"/>
        <v/>
      </c>
      <c r="C143" s="62">
        <f>IF(D93="","-",+C142+1)</f>
        <v>2059</v>
      </c>
      <c r="D143" s="63">
        <f>IF(F142+SUM(E$99:E142)=D$92,F142,D$92-SUM(E$99:E142))</f>
        <v>0</v>
      </c>
      <c r="E143" s="69">
        <f t="shared" si="16"/>
        <v>0</v>
      </c>
      <c r="F143" s="68">
        <f t="shared" si="17"/>
        <v>0</v>
      </c>
      <c r="G143" s="68">
        <f t="shared" si="18"/>
        <v>0</v>
      </c>
      <c r="H143" s="130">
        <f t="shared" si="12"/>
        <v>0</v>
      </c>
      <c r="I143" s="139">
        <f t="shared" si="13"/>
        <v>0</v>
      </c>
      <c r="J143" s="67">
        <f t="shared" si="19"/>
        <v>0</v>
      </c>
      <c r="K143" s="67"/>
      <c r="L143" s="132"/>
      <c r="M143" s="67">
        <f t="shared" si="20"/>
        <v>0</v>
      </c>
      <c r="N143" s="132"/>
      <c r="O143" s="67">
        <f t="shared" si="21"/>
        <v>0</v>
      </c>
      <c r="P143" s="67">
        <f t="shared" si="22"/>
        <v>0</v>
      </c>
    </row>
    <row r="144" spans="2:16">
      <c r="B144" s="9" t="str">
        <f t="shared" si="15"/>
        <v/>
      </c>
      <c r="C144" s="62">
        <f>IF(D93="","-",+C143+1)</f>
        <v>2060</v>
      </c>
      <c r="D144" s="63">
        <f>IF(F143+SUM(E$99:E143)=D$92,F143,D$92-SUM(E$99:E143))</f>
        <v>0</v>
      </c>
      <c r="E144" s="69">
        <f t="shared" si="16"/>
        <v>0</v>
      </c>
      <c r="F144" s="68">
        <f t="shared" si="17"/>
        <v>0</v>
      </c>
      <c r="G144" s="68">
        <f t="shared" si="18"/>
        <v>0</v>
      </c>
      <c r="H144" s="130">
        <f t="shared" si="12"/>
        <v>0</v>
      </c>
      <c r="I144" s="139">
        <f t="shared" si="13"/>
        <v>0</v>
      </c>
      <c r="J144" s="67">
        <f t="shared" si="19"/>
        <v>0</v>
      </c>
      <c r="K144" s="67"/>
      <c r="L144" s="132"/>
      <c r="M144" s="67">
        <f t="shared" si="20"/>
        <v>0</v>
      </c>
      <c r="N144" s="132"/>
      <c r="O144" s="67">
        <f t="shared" si="21"/>
        <v>0</v>
      </c>
      <c r="P144" s="67">
        <f t="shared" si="22"/>
        <v>0</v>
      </c>
    </row>
    <row r="145" spans="2:16">
      <c r="B145" s="9" t="str">
        <f t="shared" si="15"/>
        <v/>
      </c>
      <c r="C145" s="62">
        <f>IF(D93="","-",+C144+1)</f>
        <v>2061</v>
      </c>
      <c r="D145" s="63">
        <f>IF(F144+SUM(E$99:E144)=D$92,F144,D$92-SUM(E$99:E144))</f>
        <v>0</v>
      </c>
      <c r="E145" s="69">
        <f t="shared" si="16"/>
        <v>0</v>
      </c>
      <c r="F145" s="68">
        <f t="shared" si="17"/>
        <v>0</v>
      </c>
      <c r="G145" s="68">
        <f t="shared" si="18"/>
        <v>0</v>
      </c>
      <c r="H145" s="130">
        <f t="shared" si="12"/>
        <v>0</v>
      </c>
      <c r="I145" s="139">
        <f t="shared" si="13"/>
        <v>0</v>
      </c>
      <c r="J145" s="67">
        <f t="shared" si="19"/>
        <v>0</v>
      </c>
      <c r="K145" s="67"/>
      <c r="L145" s="132"/>
      <c r="M145" s="67">
        <f t="shared" si="20"/>
        <v>0</v>
      </c>
      <c r="N145" s="132"/>
      <c r="O145" s="67">
        <f t="shared" si="21"/>
        <v>0</v>
      </c>
      <c r="P145" s="67">
        <f t="shared" si="22"/>
        <v>0</v>
      </c>
    </row>
    <row r="146" spans="2:16">
      <c r="B146" s="9" t="str">
        <f t="shared" si="15"/>
        <v/>
      </c>
      <c r="C146" s="62">
        <f>IF(D93="","-",+C145+1)</f>
        <v>2062</v>
      </c>
      <c r="D146" s="63">
        <f>IF(F145+SUM(E$99:E145)=D$92,F145,D$92-SUM(E$99:E145))</f>
        <v>0</v>
      </c>
      <c r="E146" s="69">
        <f t="shared" si="16"/>
        <v>0</v>
      </c>
      <c r="F146" s="68">
        <f t="shared" si="17"/>
        <v>0</v>
      </c>
      <c r="G146" s="68">
        <f t="shared" si="18"/>
        <v>0</v>
      </c>
      <c r="H146" s="130">
        <f t="shared" si="12"/>
        <v>0</v>
      </c>
      <c r="I146" s="139">
        <f t="shared" si="13"/>
        <v>0</v>
      </c>
      <c r="J146" s="67">
        <f t="shared" si="19"/>
        <v>0</v>
      </c>
      <c r="K146" s="67"/>
      <c r="L146" s="132"/>
      <c r="M146" s="67">
        <f t="shared" si="20"/>
        <v>0</v>
      </c>
      <c r="N146" s="132"/>
      <c r="O146" s="67">
        <f t="shared" si="21"/>
        <v>0</v>
      </c>
      <c r="P146" s="67">
        <f t="shared" si="22"/>
        <v>0</v>
      </c>
    </row>
    <row r="147" spans="2:16">
      <c r="B147" s="9" t="str">
        <f t="shared" si="15"/>
        <v/>
      </c>
      <c r="C147" s="62">
        <f>IF(D93="","-",+C146+1)</f>
        <v>2063</v>
      </c>
      <c r="D147" s="63">
        <f>IF(F146+SUM(E$99:E146)=D$92,F146,D$92-SUM(E$99:E146))</f>
        <v>0</v>
      </c>
      <c r="E147" s="69">
        <f t="shared" si="16"/>
        <v>0</v>
      </c>
      <c r="F147" s="68">
        <f t="shared" si="17"/>
        <v>0</v>
      </c>
      <c r="G147" s="68">
        <f t="shared" si="18"/>
        <v>0</v>
      </c>
      <c r="H147" s="130">
        <f t="shared" si="12"/>
        <v>0</v>
      </c>
      <c r="I147" s="139">
        <f t="shared" si="13"/>
        <v>0</v>
      </c>
      <c r="J147" s="67">
        <f t="shared" si="19"/>
        <v>0</v>
      </c>
      <c r="K147" s="67"/>
      <c r="L147" s="132"/>
      <c r="M147" s="67">
        <f t="shared" si="20"/>
        <v>0</v>
      </c>
      <c r="N147" s="132"/>
      <c r="O147" s="67">
        <f t="shared" si="21"/>
        <v>0</v>
      </c>
      <c r="P147" s="67">
        <f t="shared" si="22"/>
        <v>0</v>
      </c>
    </row>
    <row r="148" spans="2:16">
      <c r="B148" s="9" t="str">
        <f t="shared" si="15"/>
        <v/>
      </c>
      <c r="C148" s="62">
        <f>IF(D93="","-",+C147+1)</f>
        <v>2064</v>
      </c>
      <c r="D148" s="63">
        <f>IF(F147+SUM(E$99:E147)=D$92,F147,D$92-SUM(E$99:E147))</f>
        <v>0</v>
      </c>
      <c r="E148" s="69">
        <f t="shared" si="16"/>
        <v>0</v>
      </c>
      <c r="F148" s="68">
        <f t="shared" si="17"/>
        <v>0</v>
      </c>
      <c r="G148" s="68">
        <f t="shared" si="18"/>
        <v>0</v>
      </c>
      <c r="H148" s="130">
        <f t="shared" si="12"/>
        <v>0</v>
      </c>
      <c r="I148" s="139">
        <f t="shared" si="13"/>
        <v>0</v>
      </c>
      <c r="J148" s="67">
        <f t="shared" si="19"/>
        <v>0</v>
      </c>
      <c r="K148" s="67"/>
      <c r="L148" s="132"/>
      <c r="M148" s="67">
        <f t="shared" si="20"/>
        <v>0</v>
      </c>
      <c r="N148" s="132"/>
      <c r="O148" s="67">
        <f t="shared" si="21"/>
        <v>0</v>
      </c>
      <c r="P148" s="67">
        <f t="shared" si="22"/>
        <v>0</v>
      </c>
    </row>
    <row r="149" spans="2:16">
      <c r="B149" s="9" t="str">
        <f t="shared" si="15"/>
        <v/>
      </c>
      <c r="C149" s="62">
        <f>IF(D93="","-",+C148+1)</f>
        <v>2065</v>
      </c>
      <c r="D149" s="63">
        <f>IF(F148+SUM(E$99:E148)=D$92,F148,D$92-SUM(E$99:E148))</f>
        <v>0</v>
      </c>
      <c r="E149" s="69">
        <f t="shared" si="16"/>
        <v>0</v>
      </c>
      <c r="F149" s="68">
        <f t="shared" si="17"/>
        <v>0</v>
      </c>
      <c r="G149" s="68">
        <f t="shared" si="18"/>
        <v>0</v>
      </c>
      <c r="H149" s="130">
        <f t="shared" si="12"/>
        <v>0</v>
      </c>
      <c r="I149" s="139">
        <f t="shared" si="13"/>
        <v>0</v>
      </c>
      <c r="J149" s="67">
        <f t="shared" si="19"/>
        <v>0</v>
      </c>
      <c r="K149" s="67"/>
      <c r="L149" s="132"/>
      <c r="M149" s="67">
        <f t="shared" si="20"/>
        <v>0</v>
      </c>
      <c r="N149" s="132"/>
      <c r="O149" s="67">
        <f t="shared" si="21"/>
        <v>0</v>
      </c>
      <c r="P149" s="67">
        <f t="shared" si="22"/>
        <v>0</v>
      </c>
    </row>
    <row r="150" spans="2:16">
      <c r="B150" s="9" t="str">
        <f t="shared" si="15"/>
        <v/>
      </c>
      <c r="C150" s="62">
        <f>IF(D93="","-",+C149+1)</f>
        <v>2066</v>
      </c>
      <c r="D150" s="63">
        <f>IF(F149+SUM(E$99:E149)=D$92,F149,D$92-SUM(E$99:E149))</f>
        <v>0</v>
      </c>
      <c r="E150" s="69">
        <f t="shared" si="16"/>
        <v>0</v>
      </c>
      <c r="F150" s="68">
        <f t="shared" si="17"/>
        <v>0</v>
      </c>
      <c r="G150" s="68">
        <f t="shared" si="18"/>
        <v>0</v>
      </c>
      <c r="H150" s="130">
        <f t="shared" si="12"/>
        <v>0</v>
      </c>
      <c r="I150" s="139">
        <f t="shared" si="13"/>
        <v>0</v>
      </c>
      <c r="J150" s="67">
        <f t="shared" si="19"/>
        <v>0</v>
      </c>
      <c r="K150" s="67"/>
      <c r="L150" s="132"/>
      <c r="M150" s="67">
        <f t="shared" si="20"/>
        <v>0</v>
      </c>
      <c r="N150" s="132"/>
      <c r="O150" s="67">
        <f t="shared" si="21"/>
        <v>0</v>
      </c>
      <c r="P150" s="67">
        <f t="shared" si="22"/>
        <v>0</v>
      </c>
    </row>
    <row r="151" spans="2:16">
      <c r="B151" s="9" t="str">
        <f t="shared" si="15"/>
        <v/>
      </c>
      <c r="C151" s="62">
        <f>IF(D93="","-",+C150+1)</f>
        <v>2067</v>
      </c>
      <c r="D151" s="63">
        <f>IF(F150+SUM(E$99:E150)=D$92,F150,D$92-SUM(E$99:E150))</f>
        <v>0</v>
      </c>
      <c r="E151" s="69">
        <f t="shared" si="16"/>
        <v>0</v>
      </c>
      <c r="F151" s="68">
        <f t="shared" si="17"/>
        <v>0</v>
      </c>
      <c r="G151" s="68">
        <f t="shared" si="18"/>
        <v>0</v>
      </c>
      <c r="H151" s="130">
        <f t="shared" si="12"/>
        <v>0</v>
      </c>
      <c r="I151" s="139">
        <f t="shared" si="13"/>
        <v>0</v>
      </c>
      <c r="J151" s="67">
        <f t="shared" si="19"/>
        <v>0</v>
      </c>
      <c r="K151" s="67"/>
      <c r="L151" s="132"/>
      <c r="M151" s="67">
        <f t="shared" si="20"/>
        <v>0</v>
      </c>
      <c r="N151" s="132"/>
      <c r="O151" s="67">
        <f t="shared" si="21"/>
        <v>0</v>
      </c>
      <c r="P151" s="67">
        <f t="shared" si="22"/>
        <v>0</v>
      </c>
    </row>
    <row r="152" spans="2:16">
      <c r="B152" s="9" t="str">
        <f t="shared" si="15"/>
        <v/>
      </c>
      <c r="C152" s="62">
        <f>IF(D93="","-",+C151+1)</f>
        <v>2068</v>
      </c>
      <c r="D152" s="63">
        <f>IF(F151+SUM(E$99:E151)=D$92,F151,D$92-SUM(E$99:E151))</f>
        <v>0</v>
      </c>
      <c r="E152" s="69">
        <f t="shared" si="16"/>
        <v>0</v>
      </c>
      <c r="F152" s="68">
        <f t="shared" si="17"/>
        <v>0</v>
      </c>
      <c r="G152" s="68">
        <f t="shared" si="18"/>
        <v>0</v>
      </c>
      <c r="H152" s="130">
        <f t="shared" si="12"/>
        <v>0</v>
      </c>
      <c r="I152" s="139">
        <f t="shared" si="13"/>
        <v>0</v>
      </c>
      <c r="J152" s="67">
        <f t="shared" si="19"/>
        <v>0</v>
      </c>
      <c r="K152" s="67"/>
      <c r="L152" s="132"/>
      <c r="M152" s="67">
        <f t="shared" si="20"/>
        <v>0</v>
      </c>
      <c r="N152" s="132"/>
      <c r="O152" s="67">
        <f t="shared" si="21"/>
        <v>0</v>
      </c>
      <c r="P152" s="67">
        <f t="shared" si="22"/>
        <v>0</v>
      </c>
    </row>
    <row r="153" spans="2:16">
      <c r="B153" s="9" t="str">
        <f t="shared" si="15"/>
        <v/>
      </c>
      <c r="C153" s="62">
        <f>IF(D93="","-",+C152+1)</f>
        <v>2069</v>
      </c>
      <c r="D153" s="63">
        <f>IF(F152+SUM(E$99:E152)=D$92,F152,D$92-SUM(E$99:E152))</f>
        <v>0</v>
      </c>
      <c r="E153" s="69">
        <f t="shared" si="16"/>
        <v>0</v>
      </c>
      <c r="F153" s="68">
        <f t="shared" si="17"/>
        <v>0</v>
      </c>
      <c r="G153" s="68">
        <f t="shared" si="18"/>
        <v>0</v>
      </c>
      <c r="H153" s="130">
        <f t="shared" si="12"/>
        <v>0</v>
      </c>
      <c r="I153" s="139">
        <f t="shared" si="13"/>
        <v>0</v>
      </c>
      <c r="J153" s="67">
        <f t="shared" si="19"/>
        <v>0</v>
      </c>
      <c r="K153" s="67"/>
      <c r="L153" s="132"/>
      <c r="M153" s="67">
        <f t="shared" si="20"/>
        <v>0</v>
      </c>
      <c r="N153" s="132"/>
      <c r="O153" s="67">
        <f t="shared" si="21"/>
        <v>0</v>
      </c>
      <c r="P153" s="67">
        <f t="shared" si="22"/>
        <v>0</v>
      </c>
    </row>
    <row r="154" spans="2:16" ht="13.5" thickBot="1">
      <c r="B154" s="9" t="str">
        <f t="shared" si="15"/>
        <v/>
      </c>
      <c r="C154" s="72">
        <f>IF(D93="","-",+C153+1)</f>
        <v>2070</v>
      </c>
      <c r="D154" s="98">
        <f>IF(F153+SUM(E$99:E153)=D$92,F153,D$92-SUM(E$99:E153))</f>
        <v>0</v>
      </c>
      <c r="E154" s="74">
        <f t="shared" si="16"/>
        <v>0</v>
      </c>
      <c r="F154" s="73">
        <f t="shared" si="17"/>
        <v>0</v>
      </c>
      <c r="G154" s="73">
        <f t="shared" si="18"/>
        <v>0</v>
      </c>
      <c r="H154" s="140">
        <f t="shared" si="12"/>
        <v>0</v>
      </c>
      <c r="I154" s="141">
        <f t="shared" si="13"/>
        <v>0</v>
      </c>
      <c r="J154" s="76">
        <f t="shared" si="19"/>
        <v>0</v>
      </c>
      <c r="K154" s="67"/>
      <c r="L154" s="133"/>
      <c r="M154" s="76">
        <f t="shared" si="20"/>
        <v>0</v>
      </c>
      <c r="N154" s="133"/>
      <c r="O154" s="76">
        <f t="shared" si="21"/>
        <v>0</v>
      </c>
      <c r="P154" s="76">
        <f t="shared" si="22"/>
        <v>0</v>
      </c>
    </row>
    <row r="155" spans="2:16">
      <c r="C155" s="63" t="s">
        <v>77</v>
      </c>
      <c r="D155" s="20"/>
      <c r="E155" s="20">
        <f>SUM(E99:E154)</f>
        <v>0</v>
      </c>
      <c r="F155" s="20"/>
      <c r="G155" s="20"/>
      <c r="H155" s="20">
        <f>SUM(H99:H154)</f>
        <v>0</v>
      </c>
      <c r="I155" s="20">
        <f>SUM(I99:I154)</f>
        <v>0</v>
      </c>
      <c r="J155" s="20">
        <f>SUM(J99:J154)</f>
        <v>0</v>
      </c>
      <c r="K155" s="20"/>
      <c r="L155" s="20"/>
      <c r="M155" s="20"/>
      <c r="N155" s="20"/>
      <c r="O155" s="20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20"/>
      <c r="L156" s="3"/>
      <c r="M156" s="3"/>
      <c r="N156" s="3"/>
      <c r="O156" s="3"/>
      <c r="P156" s="1"/>
    </row>
    <row r="157" spans="2:16">
      <c r="C157" s="99"/>
      <c r="D157" s="2"/>
      <c r="E157" s="1"/>
      <c r="F157" s="1"/>
      <c r="G157" s="1"/>
      <c r="H157" s="1"/>
      <c r="I157" s="3"/>
      <c r="J157" s="3"/>
      <c r="K157" s="20"/>
      <c r="L157" s="3"/>
      <c r="M157" s="3"/>
      <c r="N157" s="3"/>
      <c r="O157" s="3"/>
      <c r="P157" s="1"/>
    </row>
    <row r="158" spans="2:16">
      <c r="C158" s="115" t="s">
        <v>148</v>
      </c>
      <c r="D158" s="2"/>
      <c r="E158" s="1"/>
      <c r="F158" s="1"/>
      <c r="G158" s="1"/>
      <c r="H158" s="1"/>
      <c r="I158" s="3"/>
      <c r="J158" s="3"/>
      <c r="K158" s="20"/>
      <c r="L158" s="3"/>
      <c r="M158" s="3"/>
      <c r="N158" s="3"/>
      <c r="O158" s="3"/>
      <c r="P158" s="1"/>
    </row>
    <row r="159" spans="2:16">
      <c r="C159" s="32" t="s">
        <v>78</v>
      </c>
      <c r="D159" s="63"/>
      <c r="E159" s="63"/>
      <c r="F159" s="63"/>
      <c r="G159" s="63"/>
      <c r="H159" s="20"/>
      <c r="I159" s="20"/>
      <c r="J159" s="78"/>
      <c r="K159" s="78"/>
      <c r="L159" s="78"/>
      <c r="M159" s="78"/>
      <c r="N159" s="78"/>
      <c r="O159" s="78"/>
      <c r="P159" s="1"/>
    </row>
    <row r="160" spans="2:16">
      <c r="C160" s="100" t="s">
        <v>79</v>
      </c>
      <c r="D160" s="63"/>
      <c r="E160" s="63"/>
      <c r="F160" s="63"/>
      <c r="G160" s="63"/>
      <c r="H160" s="20"/>
      <c r="I160" s="20"/>
      <c r="J160" s="78"/>
      <c r="K160" s="78"/>
      <c r="L160" s="78"/>
      <c r="M160" s="78"/>
      <c r="N160" s="78"/>
      <c r="O160" s="78"/>
      <c r="P160" s="1"/>
    </row>
    <row r="161" spans="3:16">
      <c r="C161" s="100"/>
      <c r="D161" s="63"/>
      <c r="E161" s="63"/>
      <c r="F161" s="63"/>
      <c r="G161" s="63"/>
      <c r="H161" s="20"/>
      <c r="I161" s="20"/>
      <c r="J161" s="78"/>
      <c r="K161" s="78"/>
      <c r="L161" s="78"/>
      <c r="M161" s="78"/>
      <c r="N161" s="78"/>
      <c r="O161" s="78"/>
      <c r="P161" s="1"/>
    </row>
    <row r="162" spans="3:16" ht="18">
      <c r="C162" s="100"/>
      <c r="D162" s="63"/>
      <c r="E162" s="63"/>
      <c r="F162" s="63"/>
      <c r="G162" s="63"/>
      <c r="H162" s="20"/>
      <c r="I162" s="20"/>
      <c r="J162" s="78"/>
      <c r="K162" s="78"/>
      <c r="L162" s="78"/>
      <c r="M162" s="78"/>
      <c r="N162" s="78"/>
      <c r="P162" s="112" t="s">
        <v>145</v>
      </c>
    </row>
  </sheetData>
  <conditionalFormatting sqref="C17:C72">
    <cfRule type="cellIs" dxfId="5" priority="1" stopIfTrue="1" operator="equal">
      <formula>$I$10</formula>
    </cfRule>
  </conditionalFormatting>
  <conditionalFormatting sqref="C99:C154">
    <cfRule type="cellIs" dxfId="4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36297-CA4A-4D1B-B596-D4A7C5264131}">
  <dimension ref="A1:P162"/>
  <sheetViews>
    <sheetView topLeftCell="A83" zoomScaleNormal="100" zoomScaleSheetLayoutView="78" workbookViewId="0">
      <selection activeCell="E10" sqref="E10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110" t="s">
        <v>147</v>
      </c>
      <c r="B1" s="1"/>
      <c r="C1" s="10"/>
      <c r="D1" s="2"/>
      <c r="E1" s="1"/>
      <c r="F1" s="15"/>
      <c r="G1" s="1"/>
      <c r="H1" s="3"/>
      <c r="J1" s="7"/>
      <c r="K1" s="19"/>
      <c r="L1" s="19"/>
      <c r="M1" s="19"/>
      <c r="P1" s="415" t="str">
        <f ca="1">"PSO Project "&amp;RIGHT(MID(CELL("filename",$A$1),FIND("]",CELL("filename",$A$1))+1,256),2)&amp;" of "&amp;COUNT('P.001:P.xyz - blank'!$P$3)-1</f>
        <v>PSO Project 33 of 33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117" t="s">
        <v>150</v>
      </c>
    </row>
    <row r="3" spans="1:16" ht="18.75">
      <c r="B3" s="5" t="s">
        <v>42</v>
      </c>
      <c r="C3" s="14" t="s">
        <v>43</v>
      </c>
      <c r="D3" s="2"/>
      <c r="E3" s="1"/>
      <c r="F3" s="1"/>
      <c r="G3" s="1"/>
      <c r="H3" s="3"/>
      <c r="I3" s="3"/>
      <c r="J3" s="20"/>
      <c r="K3" s="3"/>
      <c r="L3" s="3"/>
      <c r="M3" s="3"/>
      <c r="N3" s="3"/>
      <c r="O3" s="1"/>
      <c r="P3" s="108">
        <v>1</v>
      </c>
    </row>
    <row r="4" spans="1:16" ht="15.75" thickBot="1">
      <c r="C4" s="13"/>
      <c r="D4" s="2"/>
      <c r="E4" s="1"/>
      <c r="F4" s="1"/>
      <c r="G4" s="1"/>
      <c r="H4" s="3"/>
      <c r="I4" s="3"/>
      <c r="J4" s="20"/>
      <c r="K4" s="3"/>
      <c r="L4" s="3"/>
      <c r="M4" s="3"/>
      <c r="N4" s="3"/>
      <c r="O4" s="1"/>
      <c r="P4" s="1"/>
    </row>
    <row r="5" spans="1:16" ht="15">
      <c r="C5" s="21" t="s">
        <v>44</v>
      </c>
      <c r="D5" s="2"/>
      <c r="E5" s="1"/>
      <c r="F5" s="1"/>
      <c r="G5" s="22"/>
      <c r="H5" s="1" t="s">
        <v>45</v>
      </c>
      <c r="I5" s="1"/>
      <c r="J5" s="4"/>
      <c r="K5" s="23" t="s">
        <v>284</v>
      </c>
      <c r="L5" s="24"/>
      <c r="M5" s="25"/>
      <c r="N5" s="26">
        <f>VLOOKUP(I10,C17:I72,5)</f>
        <v>25.762152486776909</v>
      </c>
      <c r="P5" s="1"/>
    </row>
    <row r="6" spans="1:16" ht="15.75">
      <c r="C6" s="8"/>
      <c r="D6" s="2"/>
      <c r="E6" s="1"/>
      <c r="F6" s="1"/>
      <c r="G6" s="1"/>
      <c r="H6" s="27"/>
      <c r="I6" s="27"/>
      <c r="J6" s="28"/>
      <c r="K6" s="29" t="s">
        <v>285</v>
      </c>
      <c r="L6" s="30"/>
      <c r="M6" s="4"/>
      <c r="N6" s="31">
        <f>VLOOKUP(I10,C17:I72,6)</f>
        <v>25.762152486776909</v>
      </c>
      <c r="O6" s="1"/>
      <c r="P6" s="1"/>
    </row>
    <row r="7" spans="1:16" ht="13.5" thickBot="1">
      <c r="C7" s="32" t="s">
        <v>46</v>
      </c>
      <c r="D7" s="104" t="s">
        <v>390</v>
      </c>
      <c r="E7" s="1"/>
      <c r="F7" s="1"/>
      <c r="G7" s="1"/>
      <c r="H7" s="3"/>
      <c r="I7" s="3"/>
      <c r="J7" s="20"/>
      <c r="K7" s="33" t="s">
        <v>47</v>
      </c>
      <c r="L7" s="34"/>
      <c r="M7" s="34"/>
      <c r="N7" s="35">
        <f>+N6-N5</f>
        <v>0</v>
      </c>
      <c r="O7" s="1"/>
      <c r="P7" s="1"/>
    </row>
    <row r="8" spans="1:16" ht="13.5" thickBot="1">
      <c r="C8" s="36"/>
      <c r="D8" s="114" t="str">
        <f>IF(D10&lt;100000,"DOES NOT MEET SPP $100,000 MINIMUM INVESTMENT FOR REGIONAL BPU SHARING.","")</f>
        <v>DOES NOT MEET SPP $100,000 MINIMUM INVESTMENT FOR REGIONAL BPU SHARING.</v>
      </c>
      <c r="E8" s="37"/>
      <c r="F8" s="37"/>
      <c r="G8" s="37"/>
      <c r="H8" s="37"/>
      <c r="I8" s="37"/>
      <c r="J8" s="16"/>
      <c r="K8" s="37"/>
      <c r="L8" s="37"/>
      <c r="M8" s="37"/>
      <c r="N8" s="37"/>
      <c r="O8" s="16"/>
      <c r="P8" s="10"/>
    </row>
    <row r="9" spans="1:16" ht="13.5" thickBot="1">
      <c r="C9" s="38" t="s">
        <v>48</v>
      </c>
      <c r="D9" s="439" t="s">
        <v>383</v>
      </c>
      <c r="E9" s="621" t="s">
        <v>387</v>
      </c>
      <c r="F9" s="39"/>
      <c r="G9" s="39"/>
      <c r="H9" s="39"/>
      <c r="I9" s="40"/>
      <c r="J9" s="41"/>
      <c r="O9" s="42"/>
      <c r="P9" s="4"/>
    </row>
    <row r="10" spans="1:16">
      <c r="C10" s="145" t="s">
        <v>226</v>
      </c>
      <c r="D10" s="43">
        <v>453</v>
      </c>
      <c r="E10" s="12" t="s">
        <v>51</v>
      </c>
      <c r="F10" s="42"/>
      <c r="G10" s="44"/>
      <c r="H10" s="44"/>
      <c r="I10" s="45">
        <f>+'PSO.WS.F.BPU.ATRR.Projected'!L19</f>
        <v>2024</v>
      </c>
      <c r="J10" s="41"/>
      <c r="K10" s="20" t="s">
        <v>52</v>
      </c>
      <c r="O10" s="4"/>
      <c r="P10" s="4"/>
    </row>
    <row r="11" spans="1:16">
      <c r="C11" s="46" t="s">
        <v>53</v>
      </c>
      <c r="D11" s="47">
        <v>2024</v>
      </c>
      <c r="E11" s="46" t="s">
        <v>54</v>
      </c>
      <c r="F11" s="44"/>
      <c r="G11" s="7"/>
      <c r="H11" s="7"/>
      <c r="I11" s="48">
        <f>IF(G5="",0,'PSO.WS.F.BPU.ATRR.Projected'!F$13)</f>
        <v>0</v>
      </c>
      <c r="J11" s="49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46" t="s">
        <v>55</v>
      </c>
      <c r="D12" s="43">
        <v>5</v>
      </c>
      <c r="E12" s="46" t="s">
        <v>56</v>
      </c>
      <c r="F12" s="44"/>
      <c r="G12" s="7"/>
      <c r="H12" s="7"/>
      <c r="I12" s="50">
        <f>'PSO.WS.F.BPU.ATRR.Projected'!$F$81</f>
        <v>0.11374018757958901</v>
      </c>
      <c r="J12" s="51"/>
      <c r="K12" t="s">
        <v>57</v>
      </c>
      <c r="O12" s="4"/>
      <c r="P12" s="4"/>
    </row>
    <row r="13" spans="1:16">
      <c r="C13" s="46" t="s">
        <v>58</v>
      </c>
      <c r="D13" s="48">
        <f>+'PSO.WS.F.BPU.ATRR.Projected'!F$93</f>
        <v>38</v>
      </c>
      <c r="E13" s="46" t="s">
        <v>59</v>
      </c>
      <c r="F13" s="44"/>
      <c r="G13" s="7"/>
      <c r="H13" s="7"/>
      <c r="I13" s="50">
        <f>IF(G5="",I12,'PSO.WS.F.BPU.ATRR.Projected'!$F$80)</f>
        <v>0.11374018757958901</v>
      </c>
      <c r="J13" s="51"/>
      <c r="K13" s="20" t="s">
        <v>60</v>
      </c>
      <c r="L13" s="11"/>
      <c r="M13" s="11"/>
      <c r="N13" s="11"/>
      <c r="O13" s="4"/>
      <c r="P13" s="4"/>
    </row>
    <row r="14" spans="1:16" ht="13.5" thickBot="1">
      <c r="C14" s="46" t="s">
        <v>61</v>
      </c>
      <c r="D14" s="47" t="s">
        <v>62</v>
      </c>
      <c r="E14" s="4" t="s">
        <v>63</v>
      </c>
      <c r="F14" s="44"/>
      <c r="G14" s="7"/>
      <c r="H14" s="7"/>
      <c r="I14" s="52">
        <f>IF(D10=0,0,D10/D13)</f>
        <v>11.921052631578947</v>
      </c>
      <c r="J14" s="20"/>
      <c r="K14" s="20"/>
      <c r="L14" s="20"/>
      <c r="M14" s="20"/>
      <c r="N14" s="20"/>
      <c r="O14" s="4"/>
      <c r="P14" s="4"/>
    </row>
    <row r="15" spans="1:16" ht="38.25">
      <c r="C15" s="53" t="s">
        <v>50</v>
      </c>
      <c r="D15" s="54" t="s">
        <v>64</v>
      </c>
      <c r="E15" s="54" t="s">
        <v>65</v>
      </c>
      <c r="F15" s="54" t="s">
        <v>66</v>
      </c>
      <c r="G15" s="142" t="s">
        <v>286</v>
      </c>
      <c r="H15" s="143" t="s">
        <v>287</v>
      </c>
      <c r="I15" s="53" t="s">
        <v>67</v>
      </c>
      <c r="J15" s="55"/>
      <c r="K15" s="135" t="s">
        <v>205</v>
      </c>
      <c r="L15" s="136" t="s">
        <v>68</v>
      </c>
      <c r="M15" s="135" t="s">
        <v>205</v>
      </c>
      <c r="N15" s="136" t="s">
        <v>68</v>
      </c>
      <c r="O15" s="56" t="s">
        <v>69</v>
      </c>
      <c r="P15" s="4"/>
    </row>
    <row r="16" spans="1:16" ht="13.5" thickBot="1">
      <c r="C16" s="57" t="s">
        <v>70</v>
      </c>
      <c r="D16" s="57" t="s">
        <v>71</v>
      </c>
      <c r="E16" s="57" t="s">
        <v>72</v>
      </c>
      <c r="F16" s="57" t="s">
        <v>71</v>
      </c>
      <c r="G16" s="129" t="s">
        <v>73</v>
      </c>
      <c r="H16" s="58" t="s">
        <v>74</v>
      </c>
      <c r="I16" s="59" t="s">
        <v>104</v>
      </c>
      <c r="J16" s="60" t="s">
        <v>75</v>
      </c>
      <c r="K16" s="61" t="s">
        <v>76</v>
      </c>
      <c r="L16" s="137" t="s">
        <v>76</v>
      </c>
      <c r="M16" s="61" t="s">
        <v>105</v>
      </c>
      <c r="N16" s="138" t="s">
        <v>105</v>
      </c>
      <c r="O16" s="61" t="s">
        <v>105</v>
      </c>
      <c r="P16" s="4"/>
    </row>
    <row r="17" spans="2:16">
      <c r="B17" s="9"/>
      <c r="C17" s="62">
        <f>IF(D11= "","-",D11)</f>
        <v>2024</v>
      </c>
      <c r="D17" s="63">
        <v>0</v>
      </c>
      <c r="E17" s="64">
        <f>IF(D10&gt;=100000,I$14/12*(12-D12),0)</f>
        <v>0</v>
      </c>
      <c r="F17" s="68">
        <f>IF(D11=C17,+D10-E17,+D17-E17)</f>
        <v>453</v>
      </c>
      <c r="G17" s="64">
        <f>(D17+F17)/2*I$12+E17</f>
        <v>25.762152486776909</v>
      </c>
      <c r="H17" s="52">
        <f>+(D17+F17)/2*I$13+E17</f>
        <v>25.762152486776909</v>
      </c>
      <c r="I17" s="65">
        <f>H17-G17</f>
        <v>0</v>
      </c>
      <c r="J17" s="65"/>
      <c r="K17" s="134"/>
      <c r="L17" s="66">
        <f t="shared" ref="L17:L72" si="0">IF(K17&lt;&gt;0,+G17-K17,0)</f>
        <v>0</v>
      </c>
      <c r="M17" s="134"/>
      <c r="N17" s="66">
        <f t="shared" ref="N17:N72" si="1">IF(M17&lt;&gt;0,+H17-M17,0)</f>
        <v>0</v>
      </c>
      <c r="O17" s="67">
        <f t="shared" ref="O17:O72" si="2">+N17-L17</f>
        <v>0</v>
      </c>
      <c r="P17" s="4"/>
    </row>
    <row r="18" spans="2:16">
      <c r="B18" s="9" t="str">
        <f>IF(D18=F17,"","IU")</f>
        <v/>
      </c>
      <c r="C18" s="62">
        <f>IF(D11="","-",+C17+1)</f>
        <v>2025</v>
      </c>
      <c r="D18" s="71">
        <f>IF(F17+SUM(E$17:E17)=D$10,F17,D$10-SUM(E$17:E17))</f>
        <v>453</v>
      </c>
      <c r="E18" s="69">
        <f>IF(+I$14&lt;F17,I$14,D18)</f>
        <v>11.921052631578947</v>
      </c>
      <c r="F18" s="68">
        <f>+D18-E18</f>
        <v>441.07894736842104</v>
      </c>
      <c r="G18" s="70">
        <f>(D18+F18)/2*I$12+E18</f>
        <v>62.767406223901794</v>
      </c>
      <c r="H18" s="52">
        <f>+(D18+F18)/2*I$13+E18</f>
        <v>62.767406223901794</v>
      </c>
      <c r="I18" s="65">
        <f>H18-G18</f>
        <v>0</v>
      </c>
      <c r="J18" s="65"/>
      <c r="K18" s="132"/>
      <c r="L18" s="67">
        <f t="shared" si="0"/>
        <v>0</v>
      </c>
      <c r="M18" s="132"/>
      <c r="N18" s="67">
        <f t="shared" si="1"/>
        <v>0</v>
      </c>
      <c r="O18" s="67">
        <f t="shared" si="2"/>
        <v>0</v>
      </c>
      <c r="P18" s="4"/>
    </row>
    <row r="19" spans="2:16">
      <c r="B19" s="9" t="str">
        <f>IF(D19=F18,"","IU")</f>
        <v/>
      </c>
      <c r="C19" s="62">
        <f>IF(D11="","-",+C18+1)</f>
        <v>2026</v>
      </c>
      <c r="D19" s="71">
        <f>IF(F18+SUM(E$17:E18)=D$10,F18,D$10-SUM(E$17:E18))</f>
        <v>441.07894736842104</v>
      </c>
      <c r="E19" s="69">
        <f t="shared" ref="E19:E71" si="3">IF(+I$14&lt;F18,I$14,D19)</f>
        <v>11.921052631578947</v>
      </c>
      <c r="F19" s="68">
        <f t="shared" ref="F19:F71" si="4">+D19-E19</f>
        <v>429.15789473684208</v>
      </c>
      <c r="G19" s="70">
        <f t="shared" ref="G19:G71" si="5">(D19+F19)/2*I$12+E19</f>
        <v>61.41150346143985</v>
      </c>
      <c r="H19" s="52">
        <f t="shared" ref="H19:H71" si="6">+(D19+F19)/2*I$13+E19</f>
        <v>61.41150346143985</v>
      </c>
      <c r="I19" s="65">
        <f t="shared" ref="I19:I71" si="7">H19-G19</f>
        <v>0</v>
      </c>
      <c r="J19" s="65"/>
      <c r="K19" s="132"/>
      <c r="L19" s="67">
        <f t="shared" si="0"/>
        <v>0</v>
      </c>
      <c r="M19" s="132"/>
      <c r="N19" s="67">
        <f t="shared" si="1"/>
        <v>0</v>
      </c>
      <c r="O19" s="67">
        <f t="shared" si="2"/>
        <v>0</v>
      </c>
      <c r="P19" s="4"/>
    </row>
    <row r="20" spans="2:16">
      <c r="B20" s="9" t="str">
        <f t="shared" ref="B20:B72" si="8">IF(D20=F19,"","IU")</f>
        <v/>
      </c>
      <c r="C20" s="62">
        <f>IF(D11="","-",+C19+1)</f>
        <v>2027</v>
      </c>
      <c r="D20" s="71">
        <f>IF(F19+SUM(E$17:E19)=D$10,F19,D$10-SUM(E$17:E19))</f>
        <v>429.15789473684208</v>
      </c>
      <c r="E20" s="69">
        <f t="shared" si="3"/>
        <v>11.921052631578947</v>
      </c>
      <c r="F20" s="68">
        <f t="shared" si="4"/>
        <v>417.23684210526312</v>
      </c>
      <c r="G20" s="70">
        <f t="shared" si="5"/>
        <v>60.055600698977905</v>
      </c>
      <c r="H20" s="52">
        <f t="shared" si="6"/>
        <v>60.055600698977905</v>
      </c>
      <c r="I20" s="65">
        <f t="shared" si="7"/>
        <v>0</v>
      </c>
      <c r="J20" s="65"/>
      <c r="K20" s="132"/>
      <c r="L20" s="67">
        <f t="shared" si="0"/>
        <v>0</v>
      </c>
      <c r="M20" s="132"/>
      <c r="N20" s="67">
        <f t="shared" si="1"/>
        <v>0</v>
      </c>
      <c r="O20" s="67">
        <f t="shared" si="2"/>
        <v>0</v>
      </c>
      <c r="P20" s="4"/>
    </row>
    <row r="21" spans="2:16">
      <c r="B21" s="9" t="str">
        <f t="shared" si="8"/>
        <v/>
      </c>
      <c r="C21" s="62">
        <f>IF(D11="","-",+C20+1)</f>
        <v>2028</v>
      </c>
      <c r="D21" s="71">
        <f>IF(F20+SUM(E$17:E20)=D$10,F20,D$10-SUM(E$17:E20))</f>
        <v>417.23684210526312</v>
      </c>
      <c r="E21" s="69">
        <f t="shared" si="3"/>
        <v>11.921052631578947</v>
      </c>
      <c r="F21" s="68">
        <f t="shared" si="4"/>
        <v>405.31578947368416</v>
      </c>
      <c r="G21" s="70">
        <f t="shared" si="5"/>
        <v>58.69969793651596</v>
      </c>
      <c r="H21" s="52">
        <f t="shared" si="6"/>
        <v>58.69969793651596</v>
      </c>
      <c r="I21" s="65">
        <f t="shared" si="7"/>
        <v>0</v>
      </c>
      <c r="J21" s="65"/>
      <c r="K21" s="132"/>
      <c r="L21" s="67">
        <f t="shared" si="0"/>
        <v>0</v>
      </c>
      <c r="M21" s="132"/>
      <c r="N21" s="67">
        <f t="shared" si="1"/>
        <v>0</v>
      </c>
      <c r="O21" s="67">
        <f t="shared" si="2"/>
        <v>0</v>
      </c>
      <c r="P21" s="4"/>
    </row>
    <row r="22" spans="2:16">
      <c r="B22" s="9" t="str">
        <f t="shared" si="8"/>
        <v/>
      </c>
      <c r="C22" s="62">
        <f>IF(D11="","-",+C21+1)</f>
        <v>2029</v>
      </c>
      <c r="D22" s="71">
        <f>IF(F21+SUM(E$17:E21)=D$10,F21,D$10-SUM(E$17:E21))</f>
        <v>405.31578947368416</v>
      </c>
      <c r="E22" s="69">
        <f t="shared" si="3"/>
        <v>11.921052631578947</v>
      </c>
      <c r="F22" s="68">
        <f t="shared" si="4"/>
        <v>393.3947368421052</v>
      </c>
      <c r="G22" s="70">
        <f t="shared" si="5"/>
        <v>57.343795174054016</v>
      </c>
      <c r="H22" s="52">
        <f t="shared" si="6"/>
        <v>57.343795174054016</v>
      </c>
      <c r="I22" s="65">
        <f t="shared" si="7"/>
        <v>0</v>
      </c>
      <c r="J22" s="65"/>
      <c r="K22" s="132"/>
      <c r="L22" s="67">
        <f t="shared" si="0"/>
        <v>0</v>
      </c>
      <c r="M22" s="132"/>
      <c r="N22" s="67">
        <f t="shared" si="1"/>
        <v>0</v>
      </c>
      <c r="O22" s="67">
        <f t="shared" si="2"/>
        <v>0</v>
      </c>
      <c r="P22" s="4"/>
    </row>
    <row r="23" spans="2:16">
      <c r="B23" s="9" t="str">
        <f t="shared" si="8"/>
        <v/>
      </c>
      <c r="C23" s="62">
        <f>IF(D11="","-",+C22+1)</f>
        <v>2030</v>
      </c>
      <c r="D23" s="71">
        <f>IF(F22+SUM(E$17:E22)=D$10,F22,D$10-SUM(E$17:E22))</f>
        <v>393.3947368421052</v>
      </c>
      <c r="E23" s="69">
        <f t="shared" si="3"/>
        <v>11.921052631578947</v>
      </c>
      <c r="F23" s="68">
        <f t="shared" si="4"/>
        <v>381.47368421052624</v>
      </c>
      <c r="G23" s="70">
        <f t="shared" si="5"/>
        <v>55.987892411592071</v>
      </c>
      <c r="H23" s="52">
        <f t="shared" si="6"/>
        <v>55.987892411592071</v>
      </c>
      <c r="I23" s="65">
        <f t="shared" si="7"/>
        <v>0</v>
      </c>
      <c r="J23" s="65"/>
      <c r="K23" s="132"/>
      <c r="L23" s="67">
        <f t="shared" si="0"/>
        <v>0</v>
      </c>
      <c r="M23" s="132"/>
      <c r="N23" s="67">
        <f t="shared" si="1"/>
        <v>0</v>
      </c>
      <c r="O23" s="67">
        <f t="shared" si="2"/>
        <v>0</v>
      </c>
      <c r="P23" s="4"/>
    </row>
    <row r="24" spans="2:16">
      <c r="B24" s="9" t="str">
        <f t="shared" si="8"/>
        <v/>
      </c>
      <c r="C24" s="62">
        <f>IF(D11="","-",+C23+1)</f>
        <v>2031</v>
      </c>
      <c r="D24" s="71">
        <f>IF(F23+SUM(E$17:E23)=D$10,F23,D$10-SUM(E$17:E23))</f>
        <v>381.47368421052624</v>
      </c>
      <c r="E24" s="69">
        <f t="shared" si="3"/>
        <v>11.921052631578947</v>
      </c>
      <c r="F24" s="68">
        <f t="shared" si="4"/>
        <v>369.55263157894728</v>
      </c>
      <c r="G24" s="70">
        <f t="shared" si="5"/>
        <v>54.631989649130126</v>
      </c>
      <c r="H24" s="52">
        <f t="shared" si="6"/>
        <v>54.631989649130126</v>
      </c>
      <c r="I24" s="65">
        <f t="shared" si="7"/>
        <v>0</v>
      </c>
      <c r="J24" s="65"/>
      <c r="K24" s="132"/>
      <c r="L24" s="67">
        <f t="shared" si="0"/>
        <v>0</v>
      </c>
      <c r="M24" s="132"/>
      <c r="N24" s="67">
        <f t="shared" si="1"/>
        <v>0</v>
      </c>
      <c r="O24" s="67">
        <f t="shared" si="2"/>
        <v>0</v>
      </c>
      <c r="P24" s="4"/>
    </row>
    <row r="25" spans="2:16">
      <c r="B25" s="9" t="str">
        <f t="shared" si="8"/>
        <v/>
      </c>
      <c r="C25" s="62">
        <f>IF(D11="","-",+C24+1)</f>
        <v>2032</v>
      </c>
      <c r="D25" s="71">
        <f>IF(F24+SUM(E$17:E24)=D$10,F24,D$10-SUM(E$17:E24))</f>
        <v>369.55263157894728</v>
      </c>
      <c r="E25" s="69">
        <f t="shared" si="3"/>
        <v>11.921052631578947</v>
      </c>
      <c r="F25" s="68">
        <f t="shared" si="4"/>
        <v>357.63157894736833</v>
      </c>
      <c r="G25" s="70">
        <f t="shared" si="5"/>
        <v>53.276086886668189</v>
      </c>
      <c r="H25" s="52">
        <f t="shared" si="6"/>
        <v>53.276086886668189</v>
      </c>
      <c r="I25" s="65">
        <f t="shared" si="7"/>
        <v>0</v>
      </c>
      <c r="J25" s="65"/>
      <c r="K25" s="132"/>
      <c r="L25" s="67">
        <f t="shared" si="0"/>
        <v>0</v>
      </c>
      <c r="M25" s="132"/>
      <c r="N25" s="67">
        <f t="shared" si="1"/>
        <v>0</v>
      </c>
      <c r="O25" s="67">
        <f t="shared" si="2"/>
        <v>0</v>
      </c>
      <c r="P25" s="4"/>
    </row>
    <row r="26" spans="2:16">
      <c r="B26" s="9" t="str">
        <f t="shared" si="8"/>
        <v/>
      </c>
      <c r="C26" s="62">
        <f>IF(D11="","-",+C25+1)</f>
        <v>2033</v>
      </c>
      <c r="D26" s="71">
        <f>IF(F25+SUM(E$17:E25)=D$10,F25,D$10-SUM(E$17:E25))</f>
        <v>357.63157894736833</v>
      </c>
      <c r="E26" s="69">
        <f t="shared" si="3"/>
        <v>11.921052631578947</v>
      </c>
      <c r="F26" s="68">
        <f t="shared" si="4"/>
        <v>345.71052631578937</v>
      </c>
      <c r="G26" s="70">
        <f t="shared" si="5"/>
        <v>51.920184124206244</v>
      </c>
      <c r="H26" s="52">
        <f t="shared" si="6"/>
        <v>51.920184124206244</v>
      </c>
      <c r="I26" s="65">
        <f t="shared" si="7"/>
        <v>0</v>
      </c>
      <c r="J26" s="65"/>
      <c r="K26" s="132"/>
      <c r="L26" s="67">
        <f t="shared" si="0"/>
        <v>0</v>
      </c>
      <c r="M26" s="132"/>
      <c r="N26" s="67">
        <f t="shared" si="1"/>
        <v>0</v>
      </c>
      <c r="O26" s="67">
        <f t="shared" si="2"/>
        <v>0</v>
      </c>
      <c r="P26" s="4"/>
    </row>
    <row r="27" spans="2:16">
      <c r="B27" s="9" t="str">
        <f t="shared" si="8"/>
        <v/>
      </c>
      <c r="C27" s="62">
        <f>IF(D11="","-",+C26+1)</f>
        <v>2034</v>
      </c>
      <c r="D27" s="71">
        <f>IF(F26+SUM(E$17:E26)=D$10,F26,D$10-SUM(E$17:E26))</f>
        <v>345.71052631578937</v>
      </c>
      <c r="E27" s="69">
        <f t="shared" si="3"/>
        <v>11.921052631578947</v>
      </c>
      <c r="F27" s="68">
        <f t="shared" si="4"/>
        <v>333.78947368421041</v>
      </c>
      <c r="G27" s="70">
        <f t="shared" si="5"/>
        <v>50.5642813617443</v>
      </c>
      <c r="H27" s="52">
        <f t="shared" si="6"/>
        <v>50.5642813617443</v>
      </c>
      <c r="I27" s="65">
        <f t="shared" si="7"/>
        <v>0</v>
      </c>
      <c r="J27" s="65"/>
      <c r="K27" s="132"/>
      <c r="L27" s="67">
        <f t="shared" si="0"/>
        <v>0</v>
      </c>
      <c r="M27" s="132"/>
      <c r="N27" s="67">
        <f t="shared" si="1"/>
        <v>0</v>
      </c>
      <c r="O27" s="67">
        <f t="shared" si="2"/>
        <v>0</v>
      </c>
      <c r="P27" s="4"/>
    </row>
    <row r="28" spans="2:16">
      <c r="B28" s="9" t="str">
        <f t="shared" si="8"/>
        <v/>
      </c>
      <c r="C28" s="62">
        <f>IF(D11="","-",+C27+1)</f>
        <v>2035</v>
      </c>
      <c r="D28" s="71">
        <f>IF(F27+SUM(E$17:E27)=D$10,F27,D$10-SUM(E$17:E27))</f>
        <v>333.78947368421041</v>
      </c>
      <c r="E28" s="69">
        <f t="shared" si="3"/>
        <v>11.921052631578947</v>
      </c>
      <c r="F28" s="68">
        <f t="shared" si="4"/>
        <v>321.86842105263145</v>
      </c>
      <c r="G28" s="70">
        <f t="shared" si="5"/>
        <v>49.208378599282355</v>
      </c>
      <c r="H28" s="52">
        <f t="shared" si="6"/>
        <v>49.208378599282355</v>
      </c>
      <c r="I28" s="65">
        <f t="shared" si="7"/>
        <v>0</v>
      </c>
      <c r="J28" s="65"/>
      <c r="K28" s="132"/>
      <c r="L28" s="67">
        <f t="shared" si="0"/>
        <v>0</v>
      </c>
      <c r="M28" s="132"/>
      <c r="N28" s="67">
        <f t="shared" si="1"/>
        <v>0</v>
      </c>
      <c r="O28" s="67">
        <f t="shared" si="2"/>
        <v>0</v>
      </c>
      <c r="P28" s="4"/>
    </row>
    <row r="29" spans="2:16">
      <c r="B29" s="9" t="str">
        <f t="shared" si="8"/>
        <v/>
      </c>
      <c r="C29" s="62">
        <f>IF(D11="","-",+C28+1)</f>
        <v>2036</v>
      </c>
      <c r="D29" s="71">
        <f>IF(F28+SUM(E$17:E28)=D$10,F28,D$10-SUM(E$17:E28))</f>
        <v>321.86842105263145</v>
      </c>
      <c r="E29" s="69">
        <f t="shared" si="3"/>
        <v>11.921052631578947</v>
      </c>
      <c r="F29" s="68">
        <f t="shared" si="4"/>
        <v>309.94736842105249</v>
      </c>
      <c r="G29" s="70">
        <f t="shared" si="5"/>
        <v>47.85247583682041</v>
      </c>
      <c r="H29" s="52">
        <f t="shared" si="6"/>
        <v>47.85247583682041</v>
      </c>
      <c r="I29" s="65">
        <f t="shared" si="7"/>
        <v>0</v>
      </c>
      <c r="J29" s="65"/>
      <c r="K29" s="132"/>
      <c r="L29" s="67">
        <f t="shared" si="0"/>
        <v>0</v>
      </c>
      <c r="M29" s="132"/>
      <c r="N29" s="67">
        <f t="shared" si="1"/>
        <v>0</v>
      </c>
      <c r="O29" s="67">
        <f t="shared" si="2"/>
        <v>0</v>
      </c>
      <c r="P29" s="4"/>
    </row>
    <row r="30" spans="2:16">
      <c r="B30" s="9" t="str">
        <f t="shared" si="8"/>
        <v/>
      </c>
      <c r="C30" s="62">
        <f>IF(D11="","-",+C29+1)</f>
        <v>2037</v>
      </c>
      <c r="D30" s="71">
        <f>IF(F29+SUM(E$17:E29)=D$10,F29,D$10-SUM(E$17:E29))</f>
        <v>309.94736842105249</v>
      </c>
      <c r="E30" s="69">
        <f t="shared" si="3"/>
        <v>11.921052631578947</v>
      </c>
      <c r="F30" s="68">
        <f t="shared" si="4"/>
        <v>298.02631578947353</v>
      </c>
      <c r="G30" s="70">
        <f t="shared" si="5"/>
        <v>46.496573074358466</v>
      </c>
      <c r="H30" s="52">
        <f t="shared" si="6"/>
        <v>46.496573074358466</v>
      </c>
      <c r="I30" s="65">
        <f t="shared" si="7"/>
        <v>0</v>
      </c>
      <c r="J30" s="65"/>
      <c r="K30" s="132"/>
      <c r="L30" s="67">
        <f t="shared" si="0"/>
        <v>0</v>
      </c>
      <c r="M30" s="132"/>
      <c r="N30" s="67">
        <f t="shared" si="1"/>
        <v>0</v>
      </c>
      <c r="O30" s="67">
        <f t="shared" si="2"/>
        <v>0</v>
      </c>
      <c r="P30" s="4"/>
    </row>
    <row r="31" spans="2:16">
      <c r="B31" s="9" t="str">
        <f t="shared" si="8"/>
        <v/>
      </c>
      <c r="C31" s="62">
        <f>IF(D11="","-",+C30+1)</f>
        <v>2038</v>
      </c>
      <c r="D31" s="71">
        <f>IF(F30+SUM(E$17:E30)=D$10,F30,D$10-SUM(E$17:E30))</f>
        <v>298.02631578947353</v>
      </c>
      <c r="E31" s="69">
        <f t="shared" si="3"/>
        <v>11.921052631578947</v>
      </c>
      <c r="F31" s="68">
        <f t="shared" si="4"/>
        <v>286.10526315789457</v>
      </c>
      <c r="G31" s="70">
        <f t="shared" si="5"/>
        <v>45.140670311896521</v>
      </c>
      <c r="H31" s="52">
        <f t="shared" si="6"/>
        <v>45.140670311896521</v>
      </c>
      <c r="I31" s="65">
        <f t="shared" si="7"/>
        <v>0</v>
      </c>
      <c r="J31" s="65"/>
      <c r="K31" s="132"/>
      <c r="L31" s="67">
        <f t="shared" si="0"/>
        <v>0</v>
      </c>
      <c r="M31" s="132"/>
      <c r="N31" s="67">
        <f t="shared" si="1"/>
        <v>0</v>
      </c>
      <c r="O31" s="67">
        <f t="shared" si="2"/>
        <v>0</v>
      </c>
      <c r="P31" s="4"/>
    </row>
    <row r="32" spans="2:16">
      <c r="B32" s="9" t="str">
        <f t="shared" si="8"/>
        <v/>
      </c>
      <c r="C32" s="62">
        <f>IF(D11="","-",+C31+1)</f>
        <v>2039</v>
      </c>
      <c r="D32" s="71">
        <f>IF(F31+SUM(E$17:E31)=D$10,F31,D$10-SUM(E$17:E31))</f>
        <v>286.10526315789457</v>
      </c>
      <c r="E32" s="69">
        <f t="shared" si="3"/>
        <v>11.921052631578947</v>
      </c>
      <c r="F32" s="68">
        <f t="shared" si="4"/>
        <v>274.18421052631561</v>
      </c>
      <c r="G32" s="70">
        <f t="shared" si="5"/>
        <v>43.784767549434576</v>
      </c>
      <c r="H32" s="52">
        <f t="shared" si="6"/>
        <v>43.784767549434576</v>
      </c>
      <c r="I32" s="65">
        <f t="shared" si="7"/>
        <v>0</v>
      </c>
      <c r="J32" s="65"/>
      <c r="K32" s="132"/>
      <c r="L32" s="67">
        <f t="shared" si="0"/>
        <v>0</v>
      </c>
      <c r="M32" s="132"/>
      <c r="N32" s="67">
        <f t="shared" si="1"/>
        <v>0</v>
      </c>
      <c r="O32" s="67">
        <f t="shared" si="2"/>
        <v>0</v>
      </c>
      <c r="P32" s="4"/>
    </row>
    <row r="33" spans="2:16">
      <c r="B33" s="9" t="str">
        <f t="shared" si="8"/>
        <v/>
      </c>
      <c r="C33" s="62">
        <f>IF(D11="","-",+C32+1)</f>
        <v>2040</v>
      </c>
      <c r="D33" s="71">
        <f>IF(F32+SUM(E$17:E32)=D$10,F32,D$10-SUM(E$17:E32))</f>
        <v>274.18421052631561</v>
      </c>
      <c r="E33" s="69">
        <f t="shared" si="3"/>
        <v>11.921052631578947</v>
      </c>
      <c r="F33" s="68">
        <f t="shared" si="4"/>
        <v>262.26315789473665</v>
      </c>
      <c r="G33" s="70">
        <f t="shared" si="5"/>
        <v>42.428864786972639</v>
      </c>
      <c r="H33" s="52">
        <f t="shared" si="6"/>
        <v>42.428864786972639</v>
      </c>
      <c r="I33" s="65">
        <f t="shared" si="7"/>
        <v>0</v>
      </c>
      <c r="J33" s="65"/>
      <c r="K33" s="132"/>
      <c r="L33" s="67">
        <f t="shared" si="0"/>
        <v>0</v>
      </c>
      <c r="M33" s="132"/>
      <c r="N33" s="67">
        <f t="shared" si="1"/>
        <v>0</v>
      </c>
      <c r="O33" s="67">
        <f t="shared" si="2"/>
        <v>0</v>
      </c>
      <c r="P33" s="4"/>
    </row>
    <row r="34" spans="2:16">
      <c r="B34" s="9" t="str">
        <f t="shared" si="8"/>
        <v/>
      </c>
      <c r="C34" s="62">
        <f>IF(D11="","-",+C33+1)</f>
        <v>2041</v>
      </c>
      <c r="D34" s="71">
        <f>IF(F33+SUM(E$17:E33)=D$10,F33,D$10-SUM(E$17:E33))</f>
        <v>262.26315789473665</v>
      </c>
      <c r="E34" s="69">
        <f t="shared" si="3"/>
        <v>11.921052631578947</v>
      </c>
      <c r="F34" s="68">
        <f t="shared" si="4"/>
        <v>250.34210526315769</v>
      </c>
      <c r="G34" s="70">
        <f t="shared" si="5"/>
        <v>41.072962024510694</v>
      </c>
      <c r="H34" s="52">
        <f t="shared" si="6"/>
        <v>41.072962024510694</v>
      </c>
      <c r="I34" s="65">
        <f t="shared" si="7"/>
        <v>0</v>
      </c>
      <c r="J34" s="65"/>
      <c r="K34" s="132"/>
      <c r="L34" s="67">
        <f t="shared" si="0"/>
        <v>0</v>
      </c>
      <c r="M34" s="132"/>
      <c r="N34" s="67">
        <f t="shared" si="1"/>
        <v>0</v>
      </c>
      <c r="O34" s="67">
        <f t="shared" si="2"/>
        <v>0</v>
      </c>
      <c r="P34" s="4"/>
    </row>
    <row r="35" spans="2:16">
      <c r="B35" s="9" t="str">
        <f t="shared" si="8"/>
        <v/>
      </c>
      <c r="C35" s="62">
        <f>IF(D11="","-",+C34+1)</f>
        <v>2042</v>
      </c>
      <c r="D35" s="71">
        <f>IF(F34+SUM(E$17:E34)=D$10,F34,D$10-SUM(E$17:E34))</f>
        <v>250.34210526315769</v>
      </c>
      <c r="E35" s="69">
        <f t="shared" si="3"/>
        <v>11.921052631578947</v>
      </c>
      <c r="F35" s="68">
        <f t="shared" si="4"/>
        <v>238.42105263157873</v>
      </c>
      <c r="G35" s="70">
        <f t="shared" si="5"/>
        <v>39.71705926204875</v>
      </c>
      <c r="H35" s="52">
        <f t="shared" si="6"/>
        <v>39.71705926204875</v>
      </c>
      <c r="I35" s="65">
        <f t="shared" si="7"/>
        <v>0</v>
      </c>
      <c r="J35" s="65"/>
      <c r="K35" s="132"/>
      <c r="L35" s="67">
        <f t="shared" si="0"/>
        <v>0</v>
      </c>
      <c r="M35" s="132"/>
      <c r="N35" s="67">
        <f t="shared" si="1"/>
        <v>0</v>
      </c>
      <c r="O35" s="67">
        <f t="shared" si="2"/>
        <v>0</v>
      </c>
      <c r="P35" s="4"/>
    </row>
    <row r="36" spans="2:16">
      <c r="B36" s="9" t="str">
        <f t="shared" si="8"/>
        <v/>
      </c>
      <c r="C36" s="62">
        <f>IF(D11="","-",+C35+1)</f>
        <v>2043</v>
      </c>
      <c r="D36" s="71">
        <f>IF(F35+SUM(E$17:E35)=D$10,F35,D$10-SUM(E$17:E35))</f>
        <v>238.42105263157873</v>
      </c>
      <c r="E36" s="69">
        <f t="shared" si="3"/>
        <v>11.921052631578947</v>
      </c>
      <c r="F36" s="68">
        <f t="shared" si="4"/>
        <v>226.49999999999977</v>
      </c>
      <c r="G36" s="70">
        <f t="shared" si="5"/>
        <v>38.361156499586805</v>
      </c>
      <c r="H36" s="52">
        <f t="shared" si="6"/>
        <v>38.361156499586805</v>
      </c>
      <c r="I36" s="65">
        <f t="shared" si="7"/>
        <v>0</v>
      </c>
      <c r="J36" s="65"/>
      <c r="K36" s="132"/>
      <c r="L36" s="67">
        <f t="shared" si="0"/>
        <v>0</v>
      </c>
      <c r="M36" s="132"/>
      <c r="N36" s="67">
        <f t="shared" si="1"/>
        <v>0</v>
      </c>
      <c r="O36" s="67">
        <f t="shared" si="2"/>
        <v>0</v>
      </c>
      <c r="P36" s="4"/>
    </row>
    <row r="37" spans="2:16">
      <c r="B37" s="9" t="str">
        <f t="shared" si="8"/>
        <v/>
      </c>
      <c r="C37" s="62">
        <f>IF(D11="","-",+C36+1)</f>
        <v>2044</v>
      </c>
      <c r="D37" s="71">
        <f>IF(F36+SUM(E$17:E36)=D$10,F36,D$10-SUM(E$17:E36))</f>
        <v>226.49999999999977</v>
      </c>
      <c r="E37" s="69">
        <f t="shared" si="3"/>
        <v>11.921052631578947</v>
      </c>
      <c r="F37" s="68">
        <f t="shared" si="4"/>
        <v>214.57894736842081</v>
      </c>
      <c r="G37" s="70">
        <f t="shared" si="5"/>
        <v>37.00525373712486</v>
      </c>
      <c r="H37" s="52">
        <f t="shared" si="6"/>
        <v>37.00525373712486</v>
      </c>
      <c r="I37" s="65">
        <f t="shared" si="7"/>
        <v>0</v>
      </c>
      <c r="J37" s="65"/>
      <c r="K37" s="132"/>
      <c r="L37" s="67">
        <f t="shared" si="0"/>
        <v>0</v>
      </c>
      <c r="M37" s="132"/>
      <c r="N37" s="67">
        <f t="shared" si="1"/>
        <v>0</v>
      </c>
      <c r="O37" s="67">
        <f t="shared" si="2"/>
        <v>0</v>
      </c>
      <c r="P37" s="4"/>
    </row>
    <row r="38" spans="2:16">
      <c r="B38" s="9" t="str">
        <f t="shared" si="8"/>
        <v/>
      </c>
      <c r="C38" s="62">
        <f>IF(D11="","-",+C37+1)</f>
        <v>2045</v>
      </c>
      <c r="D38" s="71">
        <f>IF(F37+SUM(E$17:E37)=D$10,F37,D$10-SUM(E$17:E37))</f>
        <v>214.57894736842081</v>
      </c>
      <c r="E38" s="69">
        <f t="shared" si="3"/>
        <v>11.921052631578947</v>
      </c>
      <c r="F38" s="68">
        <f t="shared" si="4"/>
        <v>202.65789473684185</v>
      </c>
      <c r="G38" s="70">
        <f t="shared" si="5"/>
        <v>35.649350974662916</v>
      </c>
      <c r="H38" s="52">
        <f t="shared" si="6"/>
        <v>35.649350974662916</v>
      </c>
      <c r="I38" s="65">
        <f t="shared" si="7"/>
        <v>0</v>
      </c>
      <c r="J38" s="65"/>
      <c r="K38" s="132"/>
      <c r="L38" s="67">
        <f t="shared" si="0"/>
        <v>0</v>
      </c>
      <c r="M38" s="132"/>
      <c r="N38" s="67">
        <f t="shared" si="1"/>
        <v>0</v>
      </c>
      <c r="O38" s="67">
        <f t="shared" si="2"/>
        <v>0</v>
      </c>
      <c r="P38" s="4"/>
    </row>
    <row r="39" spans="2:16">
      <c r="B39" s="9" t="str">
        <f t="shared" si="8"/>
        <v/>
      </c>
      <c r="C39" s="62">
        <f>IF(D11="","-",+C38+1)</f>
        <v>2046</v>
      </c>
      <c r="D39" s="71">
        <f>IF(F38+SUM(E$17:E38)=D$10,F38,D$10-SUM(E$17:E38))</f>
        <v>202.65789473684185</v>
      </c>
      <c r="E39" s="69">
        <f t="shared" si="3"/>
        <v>11.921052631578947</v>
      </c>
      <c r="F39" s="68">
        <f t="shared" si="4"/>
        <v>190.73684210526289</v>
      </c>
      <c r="G39" s="70">
        <f t="shared" si="5"/>
        <v>34.293448212200971</v>
      </c>
      <c r="H39" s="52">
        <f t="shared" si="6"/>
        <v>34.293448212200971</v>
      </c>
      <c r="I39" s="65">
        <f t="shared" si="7"/>
        <v>0</v>
      </c>
      <c r="J39" s="65"/>
      <c r="K39" s="132"/>
      <c r="L39" s="67">
        <f t="shared" si="0"/>
        <v>0</v>
      </c>
      <c r="M39" s="132"/>
      <c r="N39" s="67">
        <f t="shared" si="1"/>
        <v>0</v>
      </c>
      <c r="O39" s="67">
        <f t="shared" si="2"/>
        <v>0</v>
      </c>
      <c r="P39" s="4"/>
    </row>
    <row r="40" spans="2:16">
      <c r="B40" s="9" t="str">
        <f t="shared" si="8"/>
        <v/>
      </c>
      <c r="C40" s="62">
        <f>IF(D11="","-",+C39+1)</f>
        <v>2047</v>
      </c>
      <c r="D40" s="71">
        <f>IF(F39+SUM(E$17:E39)=D$10,F39,D$10-SUM(E$17:E39))</f>
        <v>190.73684210526289</v>
      </c>
      <c r="E40" s="69">
        <f t="shared" si="3"/>
        <v>11.921052631578947</v>
      </c>
      <c r="F40" s="68">
        <f t="shared" si="4"/>
        <v>178.81578947368394</v>
      </c>
      <c r="G40" s="70">
        <f t="shared" si="5"/>
        <v>32.937545449739027</v>
      </c>
      <c r="H40" s="52">
        <f t="shared" si="6"/>
        <v>32.937545449739027</v>
      </c>
      <c r="I40" s="65">
        <f t="shared" si="7"/>
        <v>0</v>
      </c>
      <c r="J40" s="65"/>
      <c r="K40" s="132"/>
      <c r="L40" s="67">
        <f t="shared" si="0"/>
        <v>0</v>
      </c>
      <c r="M40" s="132"/>
      <c r="N40" s="67">
        <f t="shared" si="1"/>
        <v>0</v>
      </c>
      <c r="O40" s="67">
        <f t="shared" si="2"/>
        <v>0</v>
      </c>
      <c r="P40" s="4"/>
    </row>
    <row r="41" spans="2:16">
      <c r="B41" s="9" t="str">
        <f t="shared" si="8"/>
        <v/>
      </c>
      <c r="C41" s="62">
        <f>IF(D11="","-",+C40+1)</f>
        <v>2048</v>
      </c>
      <c r="D41" s="71">
        <f>IF(F40+SUM(E$17:E40)=D$10,F40,D$10-SUM(E$17:E40))</f>
        <v>178.81578947368394</v>
      </c>
      <c r="E41" s="69">
        <f t="shared" si="3"/>
        <v>11.921052631578947</v>
      </c>
      <c r="F41" s="68">
        <f t="shared" si="4"/>
        <v>166.89473684210498</v>
      </c>
      <c r="G41" s="70">
        <f t="shared" si="5"/>
        <v>31.581642687277082</v>
      </c>
      <c r="H41" s="52">
        <f t="shared" si="6"/>
        <v>31.581642687277082</v>
      </c>
      <c r="I41" s="65">
        <f t="shared" si="7"/>
        <v>0</v>
      </c>
      <c r="J41" s="65"/>
      <c r="K41" s="132"/>
      <c r="L41" s="67">
        <f t="shared" si="0"/>
        <v>0</v>
      </c>
      <c r="M41" s="132"/>
      <c r="N41" s="67">
        <f t="shared" si="1"/>
        <v>0</v>
      </c>
      <c r="O41" s="67">
        <f t="shared" si="2"/>
        <v>0</v>
      </c>
      <c r="P41" s="4"/>
    </row>
    <row r="42" spans="2:16">
      <c r="B42" s="9" t="str">
        <f t="shared" si="8"/>
        <v/>
      </c>
      <c r="C42" s="62">
        <f>IF(D11="","-",+C41+1)</f>
        <v>2049</v>
      </c>
      <c r="D42" s="71">
        <f>IF(F41+SUM(E$17:E41)=D$10,F41,D$10-SUM(E$17:E41))</f>
        <v>166.89473684210498</v>
      </c>
      <c r="E42" s="69">
        <f t="shared" si="3"/>
        <v>11.921052631578947</v>
      </c>
      <c r="F42" s="68">
        <f t="shared" si="4"/>
        <v>154.97368421052602</v>
      </c>
      <c r="G42" s="70">
        <f t="shared" si="5"/>
        <v>30.225739924815137</v>
      </c>
      <c r="H42" s="52">
        <f t="shared" si="6"/>
        <v>30.225739924815137</v>
      </c>
      <c r="I42" s="65">
        <f t="shared" si="7"/>
        <v>0</v>
      </c>
      <c r="J42" s="65"/>
      <c r="K42" s="132"/>
      <c r="L42" s="67">
        <f t="shared" si="0"/>
        <v>0</v>
      </c>
      <c r="M42" s="132"/>
      <c r="N42" s="67">
        <f t="shared" si="1"/>
        <v>0</v>
      </c>
      <c r="O42" s="67">
        <f t="shared" si="2"/>
        <v>0</v>
      </c>
      <c r="P42" s="4"/>
    </row>
    <row r="43" spans="2:16">
      <c r="B43" s="9" t="str">
        <f t="shared" si="8"/>
        <v/>
      </c>
      <c r="C43" s="62">
        <f>IF(D11="","-",+C42+1)</f>
        <v>2050</v>
      </c>
      <c r="D43" s="71">
        <f>IF(F42+SUM(E$17:E42)=D$10,F42,D$10-SUM(E$17:E42))</f>
        <v>154.97368421052602</v>
      </c>
      <c r="E43" s="69">
        <f t="shared" si="3"/>
        <v>11.921052631578947</v>
      </c>
      <c r="F43" s="68">
        <f t="shared" si="4"/>
        <v>143.05263157894706</v>
      </c>
      <c r="G43" s="70">
        <f t="shared" si="5"/>
        <v>28.869837162353193</v>
      </c>
      <c r="H43" s="52">
        <f t="shared" si="6"/>
        <v>28.869837162353193</v>
      </c>
      <c r="I43" s="65">
        <f t="shared" si="7"/>
        <v>0</v>
      </c>
      <c r="J43" s="65"/>
      <c r="K43" s="132"/>
      <c r="L43" s="67">
        <f t="shared" si="0"/>
        <v>0</v>
      </c>
      <c r="M43" s="132"/>
      <c r="N43" s="67">
        <f t="shared" si="1"/>
        <v>0</v>
      </c>
      <c r="O43" s="67">
        <f t="shared" si="2"/>
        <v>0</v>
      </c>
      <c r="P43" s="4"/>
    </row>
    <row r="44" spans="2:16">
      <c r="B44" s="9" t="str">
        <f t="shared" si="8"/>
        <v/>
      </c>
      <c r="C44" s="62">
        <f>IF(D11="","-",+C43+1)</f>
        <v>2051</v>
      </c>
      <c r="D44" s="71">
        <f>IF(F43+SUM(E$17:E43)=D$10,F43,D$10-SUM(E$17:E43))</f>
        <v>143.05263157894706</v>
      </c>
      <c r="E44" s="69">
        <f t="shared" si="3"/>
        <v>11.921052631578947</v>
      </c>
      <c r="F44" s="68">
        <f t="shared" si="4"/>
        <v>131.1315789473681</v>
      </c>
      <c r="G44" s="70">
        <f t="shared" si="5"/>
        <v>27.513934399891252</v>
      </c>
      <c r="H44" s="52">
        <f t="shared" si="6"/>
        <v>27.513934399891252</v>
      </c>
      <c r="I44" s="65">
        <f t="shared" si="7"/>
        <v>0</v>
      </c>
      <c r="J44" s="65"/>
      <c r="K44" s="132"/>
      <c r="L44" s="67">
        <f t="shared" si="0"/>
        <v>0</v>
      </c>
      <c r="M44" s="132"/>
      <c r="N44" s="67">
        <f t="shared" si="1"/>
        <v>0</v>
      </c>
      <c r="O44" s="67">
        <f t="shared" si="2"/>
        <v>0</v>
      </c>
      <c r="P44" s="4"/>
    </row>
    <row r="45" spans="2:16">
      <c r="B45" s="9" t="str">
        <f t="shared" si="8"/>
        <v/>
      </c>
      <c r="C45" s="62">
        <f>IF(D11="","-",+C44+1)</f>
        <v>2052</v>
      </c>
      <c r="D45" s="71">
        <f>IF(F44+SUM(E$17:E44)=D$10,F44,D$10-SUM(E$17:E44))</f>
        <v>131.1315789473681</v>
      </c>
      <c r="E45" s="69">
        <f t="shared" si="3"/>
        <v>11.921052631578947</v>
      </c>
      <c r="F45" s="68">
        <f t="shared" si="4"/>
        <v>119.21052631578915</v>
      </c>
      <c r="G45" s="70">
        <f t="shared" si="5"/>
        <v>26.158031637429307</v>
      </c>
      <c r="H45" s="52">
        <f t="shared" si="6"/>
        <v>26.158031637429307</v>
      </c>
      <c r="I45" s="65">
        <f t="shared" si="7"/>
        <v>0</v>
      </c>
      <c r="J45" s="65"/>
      <c r="K45" s="132"/>
      <c r="L45" s="67">
        <f t="shared" si="0"/>
        <v>0</v>
      </c>
      <c r="M45" s="132"/>
      <c r="N45" s="67">
        <f t="shared" si="1"/>
        <v>0</v>
      </c>
      <c r="O45" s="67">
        <f t="shared" si="2"/>
        <v>0</v>
      </c>
      <c r="P45" s="4"/>
    </row>
    <row r="46" spans="2:16">
      <c r="B46" s="9" t="str">
        <f t="shared" si="8"/>
        <v/>
      </c>
      <c r="C46" s="62">
        <f>IF(D11="","-",+C45+1)</f>
        <v>2053</v>
      </c>
      <c r="D46" s="71">
        <f>IF(F45+SUM(E$17:E45)=D$10,F45,D$10-SUM(E$17:E45))</f>
        <v>119.21052631578915</v>
      </c>
      <c r="E46" s="69">
        <f t="shared" si="3"/>
        <v>11.921052631578947</v>
      </c>
      <c r="F46" s="68">
        <f t="shared" si="4"/>
        <v>107.28947368421021</v>
      </c>
      <c r="G46" s="70">
        <f t="shared" si="5"/>
        <v>24.802128874967366</v>
      </c>
      <c r="H46" s="52">
        <f t="shared" si="6"/>
        <v>24.802128874967366</v>
      </c>
      <c r="I46" s="65">
        <f t="shared" si="7"/>
        <v>0</v>
      </c>
      <c r="J46" s="65"/>
      <c r="K46" s="132"/>
      <c r="L46" s="67">
        <f t="shared" si="0"/>
        <v>0</v>
      </c>
      <c r="M46" s="132"/>
      <c r="N46" s="67">
        <f t="shared" si="1"/>
        <v>0</v>
      </c>
      <c r="O46" s="67">
        <f t="shared" si="2"/>
        <v>0</v>
      </c>
      <c r="P46" s="4"/>
    </row>
    <row r="47" spans="2:16">
      <c r="B47" s="9" t="str">
        <f t="shared" si="8"/>
        <v/>
      </c>
      <c r="C47" s="62">
        <f>IF(D11="","-",+C46+1)</f>
        <v>2054</v>
      </c>
      <c r="D47" s="71">
        <f>IF(F46+SUM(E$17:E46)=D$10,F46,D$10-SUM(E$17:E46))</f>
        <v>107.28947368421021</v>
      </c>
      <c r="E47" s="69">
        <f t="shared" si="3"/>
        <v>11.921052631578947</v>
      </c>
      <c r="F47" s="68">
        <f t="shared" si="4"/>
        <v>95.368421052631263</v>
      </c>
      <c r="G47" s="70">
        <f t="shared" si="5"/>
        <v>23.446226112505421</v>
      </c>
      <c r="H47" s="52">
        <f t="shared" si="6"/>
        <v>23.446226112505421</v>
      </c>
      <c r="I47" s="65">
        <f t="shared" si="7"/>
        <v>0</v>
      </c>
      <c r="J47" s="65"/>
      <c r="K47" s="132"/>
      <c r="L47" s="67">
        <f t="shared" si="0"/>
        <v>0</v>
      </c>
      <c r="M47" s="132"/>
      <c r="N47" s="67">
        <f t="shared" si="1"/>
        <v>0</v>
      </c>
      <c r="O47" s="67">
        <f t="shared" si="2"/>
        <v>0</v>
      </c>
      <c r="P47" s="4"/>
    </row>
    <row r="48" spans="2:16">
      <c r="B48" s="9" t="str">
        <f t="shared" si="8"/>
        <v/>
      </c>
      <c r="C48" s="62">
        <f>IF(D11="","-",+C47+1)</f>
        <v>2055</v>
      </c>
      <c r="D48" s="71">
        <f>IF(F47+SUM(E$17:E47)=D$10,F47,D$10-SUM(E$17:E47))</f>
        <v>95.368421052631263</v>
      </c>
      <c r="E48" s="69">
        <f t="shared" si="3"/>
        <v>11.921052631578947</v>
      </c>
      <c r="F48" s="68">
        <f t="shared" si="4"/>
        <v>83.447368421052317</v>
      </c>
      <c r="G48" s="70">
        <f t="shared" si="5"/>
        <v>22.090323350043484</v>
      </c>
      <c r="H48" s="52">
        <f t="shared" si="6"/>
        <v>22.090323350043484</v>
      </c>
      <c r="I48" s="65">
        <f t="shared" si="7"/>
        <v>0</v>
      </c>
      <c r="J48" s="65"/>
      <c r="K48" s="132"/>
      <c r="L48" s="67">
        <f t="shared" si="0"/>
        <v>0</v>
      </c>
      <c r="M48" s="132"/>
      <c r="N48" s="67">
        <f t="shared" si="1"/>
        <v>0</v>
      </c>
      <c r="O48" s="67">
        <f t="shared" si="2"/>
        <v>0</v>
      </c>
      <c r="P48" s="4"/>
    </row>
    <row r="49" spans="2:16">
      <c r="B49" s="9" t="str">
        <f t="shared" si="8"/>
        <v/>
      </c>
      <c r="C49" s="62">
        <f>IF(D11="","-",+C48+1)</f>
        <v>2056</v>
      </c>
      <c r="D49" s="71">
        <f>IF(F48+SUM(E$17:E48)=D$10,F48,D$10-SUM(E$17:E48))</f>
        <v>83.447368421052317</v>
      </c>
      <c r="E49" s="69">
        <f t="shared" si="3"/>
        <v>11.921052631578947</v>
      </c>
      <c r="F49" s="68">
        <f t="shared" si="4"/>
        <v>71.526315789473372</v>
      </c>
      <c r="G49" s="70">
        <f t="shared" si="5"/>
        <v>20.734420587581539</v>
      </c>
      <c r="H49" s="52">
        <f t="shared" si="6"/>
        <v>20.734420587581539</v>
      </c>
      <c r="I49" s="65">
        <f t="shared" si="7"/>
        <v>0</v>
      </c>
      <c r="J49" s="65"/>
      <c r="K49" s="132"/>
      <c r="L49" s="67">
        <f t="shared" si="0"/>
        <v>0</v>
      </c>
      <c r="M49" s="132"/>
      <c r="N49" s="67">
        <f t="shared" si="1"/>
        <v>0</v>
      </c>
      <c r="O49" s="67">
        <f t="shared" si="2"/>
        <v>0</v>
      </c>
      <c r="P49" s="4"/>
    </row>
    <row r="50" spans="2:16">
      <c r="B50" s="9" t="str">
        <f t="shared" si="8"/>
        <v/>
      </c>
      <c r="C50" s="62">
        <f>IF(D11="","-",+C49+1)</f>
        <v>2057</v>
      </c>
      <c r="D50" s="71">
        <f>IF(F49+SUM(E$17:E49)=D$10,F49,D$10-SUM(E$17:E49))</f>
        <v>71.526315789473372</v>
      </c>
      <c r="E50" s="69">
        <f t="shared" si="3"/>
        <v>11.921052631578947</v>
      </c>
      <c r="F50" s="68">
        <f t="shared" si="4"/>
        <v>59.605263157894427</v>
      </c>
      <c r="G50" s="70">
        <f t="shared" si="5"/>
        <v>19.378517825119598</v>
      </c>
      <c r="H50" s="52">
        <f t="shared" si="6"/>
        <v>19.378517825119598</v>
      </c>
      <c r="I50" s="65">
        <f t="shared" si="7"/>
        <v>0</v>
      </c>
      <c r="J50" s="65"/>
      <c r="K50" s="132"/>
      <c r="L50" s="67">
        <f t="shared" si="0"/>
        <v>0</v>
      </c>
      <c r="M50" s="132"/>
      <c r="N50" s="67">
        <f t="shared" si="1"/>
        <v>0</v>
      </c>
      <c r="O50" s="67">
        <f t="shared" si="2"/>
        <v>0</v>
      </c>
      <c r="P50" s="4"/>
    </row>
    <row r="51" spans="2:16">
      <c r="B51" s="9" t="str">
        <f t="shared" si="8"/>
        <v/>
      </c>
      <c r="C51" s="62">
        <f>IF(D11="","-",+C50+1)</f>
        <v>2058</v>
      </c>
      <c r="D51" s="71">
        <f>IF(F50+SUM(E$17:E50)=D$10,F50,D$10-SUM(E$17:E50))</f>
        <v>59.605263157894427</v>
      </c>
      <c r="E51" s="69">
        <f t="shared" si="3"/>
        <v>11.921052631578947</v>
      </c>
      <c r="F51" s="68">
        <f t="shared" si="4"/>
        <v>47.684210526315482</v>
      </c>
      <c r="G51" s="70">
        <f t="shared" si="5"/>
        <v>18.022615062657653</v>
      </c>
      <c r="H51" s="52">
        <f t="shared" si="6"/>
        <v>18.022615062657653</v>
      </c>
      <c r="I51" s="65">
        <f t="shared" si="7"/>
        <v>0</v>
      </c>
      <c r="J51" s="65"/>
      <c r="K51" s="132"/>
      <c r="L51" s="67">
        <f t="shared" si="0"/>
        <v>0</v>
      </c>
      <c r="M51" s="132"/>
      <c r="N51" s="67">
        <f t="shared" si="1"/>
        <v>0</v>
      </c>
      <c r="O51" s="67">
        <f t="shared" si="2"/>
        <v>0</v>
      </c>
      <c r="P51" s="4"/>
    </row>
    <row r="52" spans="2:16">
      <c r="B52" s="9" t="str">
        <f t="shared" si="8"/>
        <v/>
      </c>
      <c r="C52" s="62">
        <f>IF(D11="","-",+C51+1)</f>
        <v>2059</v>
      </c>
      <c r="D52" s="71">
        <f>IF(F51+SUM(E$17:E51)=D$10,F51,D$10-SUM(E$17:E51))</f>
        <v>47.684210526315482</v>
      </c>
      <c r="E52" s="69">
        <f t="shared" si="3"/>
        <v>11.921052631578947</v>
      </c>
      <c r="F52" s="68">
        <f t="shared" si="4"/>
        <v>35.763157894736537</v>
      </c>
      <c r="G52" s="70">
        <f t="shared" si="5"/>
        <v>16.666712300195712</v>
      </c>
      <c r="H52" s="52">
        <f t="shared" si="6"/>
        <v>16.666712300195712</v>
      </c>
      <c r="I52" s="65">
        <f t="shared" si="7"/>
        <v>0</v>
      </c>
      <c r="J52" s="65"/>
      <c r="K52" s="132"/>
      <c r="L52" s="67">
        <f t="shared" si="0"/>
        <v>0</v>
      </c>
      <c r="M52" s="132"/>
      <c r="N52" s="67">
        <f t="shared" si="1"/>
        <v>0</v>
      </c>
      <c r="O52" s="67">
        <f t="shared" si="2"/>
        <v>0</v>
      </c>
      <c r="P52" s="4"/>
    </row>
    <row r="53" spans="2:16">
      <c r="B53" s="9" t="str">
        <f t="shared" si="8"/>
        <v/>
      </c>
      <c r="C53" s="62">
        <f>IF(D11="","-",+C52+1)</f>
        <v>2060</v>
      </c>
      <c r="D53" s="71">
        <f>IF(F52+SUM(E$17:E52)=D$10,F52,D$10-SUM(E$17:E52))</f>
        <v>35.763157894736537</v>
      </c>
      <c r="E53" s="69">
        <f t="shared" si="3"/>
        <v>11.921052631578947</v>
      </c>
      <c r="F53" s="68">
        <f t="shared" si="4"/>
        <v>23.842105263157592</v>
      </c>
      <c r="G53" s="70">
        <f t="shared" si="5"/>
        <v>15.310809537733769</v>
      </c>
      <c r="H53" s="52">
        <f t="shared" si="6"/>
        <v>15.310809537733769</v>
      </c>
      <c r="I53" s="65">
        <f t="shared" si="7"/>
        <v>0</v>
      </c>
      <c r="J53" s="65"/>
      <c r="K53" s="132"/>
      <c r="L53" s="67">
        <f t="shared" si="0"/>
        <v>0</v>
      </c>
      <c r="M53" s="132"/>
      <c r="N53" s="67">
        <f t="shared" si="1"/>
        <v>0</v>
      </c>
      <c r="O53" s="67">
        <f t="shared" si="2"/>
        <v>0</v>
      </c>
      <c r="P53" s="4"/>
    </row>
    <row r="54" spans="2:16">
      <c r="B54" s="9" t="str">
        <f t="shared" si="8"/>
        <v/>
      </c>
      <c r="C54" s="62">
        <f>IF(D11="","-",+C53+1)</f>
        <v>2061</v>
      </c>
      <c r="D54" s="71">
        <f>IF(F53+SUM(E$17:E53)=D$10,F53,D$10-SUM(E$17:E53))</f>
        <v>23.842105263157592</v>
      </c>
      <c r="E54" s="69">
        <f t="shared" si="3"/>
        <v>11.921052631578947</v>
      </c>
      <c r="F54" s="68">
        <f t="shared" si="4"/>
        <v>11.921052631578645</v>
      </c>
      <c r="G54" s="70">
        <f t="shared" si="5"/>
        <v>13.954906775271827</v>
      </c>
      <c r="H54" s="52">
        <f t="shared" si="6"/>
        <v>13.954906775271827</v>
      </c>
      <c r="I54" s="65">
        <f t="shared" si="7"/>
        <v>0</v>
      </c>
      <c r="J54" s="65"/>
      <c r="K54" s="132"/>
      <c r="L54" s="67">
        <f t="shared" si="0"/>
        <v>0</v>
      </c>
      <c r="M54" s="132"/>
      <c r="N54" s="67">
        <f t="shared" si="1"/>
        <v>0</v>
      </c>
      <c r="O54" s="67">
        <f t="shared" si="2"/>
        <v>0</v>
      </c>
      <c r="P54" s="4"/>
    </row>
    <row r="55" spans="2:16">
      <c r="B55" s="9" t="str">
        <f t="shared" si="8"/>
        <v/>
      </c>
      <c r="C55" s="62">
        <f>IF(D11="","-",+C54+1)</f>
        <v>2062</v>
      </c>
      <c r="D55" s="71">
        <f>IF(F54+SUM(E$17:E54)=D$10,F54,D$10-SUM(E$17:E54))</f>
        <v>11.921052631578645</v>
      </c>
      <c r="E55" s="69">
        <f t="shared" si="3"/>
        <v>11.921052631578645</v>
      </c>
      <c r="F55" s="68">
        <f t="shared" si="4"/>
        <v>0</v>
      </c>
      <c r="G55" s="70">
        <f t="shared" si="5"/>
        <v>12.599004012809599</v>
      </c>
      <c r="H55" s="52">
        <f t="shared" si="6"/>
        <v>12.599004012809599</v>
      </c>
      <c r="I55" s="65">
        <f t="shared" si="7"/>
        <v>0</v>
      </c>
      <c r="J55" s="65"/>
      <c r="K55" s="132"/>
      <c r="L55" s="67">
        <f t="shared" si="0"/>
        <v>0</v>
      </c>
      <c r="M55" s="132"/>
      <c r="N55" s="67">
        <f t="shared" si="1"/>
        <v>0</v>
      </c>
      <c r="O55" s="67">
        <f t="shared" si="2"/>
        <v>0</v>
      </c>
      <c r="P55" s="4"/>
    </row>
    <row r="56" spans="2:16">
      <c r="B56" s="9" t="str">
        <f t="shared" si="8"/>
        <v/>
      </c>
      <c r="C56" s="62">
        <f>IF(D11="","-",+C55+1)</f>
        <v>2063</v>
      </c>
      <c r="D56" s="71">
        <f>IF(F55+SUM(E$17:E55)=D$10,F55,D$10-SUM(E$17:E55))</f>
        <v>0</v>
      </c>
      <c r="E56" s="69">
        <f t="shared" si="3"/>
        <v>0</v>
      </c>
      <c r="F56" s="68">
        <f t="shared" si="4"/>
        <v>0</v>
      </c>
      <c r="G56" s="70">
        <f t="shared" si="5"/>
        <v>0</v>
      </c>
      <c r="H56" s="52">
        <f t="shared" si="6"/>
        <v>0</v>
      </c>
      <c r="I56" s="65">
        <f t="shared" si="7"/>
        <v>0</v>
      </c>
      <c r="J56" s="65"/>
      <c r="K56" s="132"/>
      <c r="L56" s="67">
        <f t="shared" si="0"/>
        <v>0</v>
      </c>
      <c r="M56" s="132"/>
      <c r="N56" s="67">
        <f t="shared" si="1"/>
        <v>0</v>
      </c>
      <c r="O56" s="67">
        <f t="shared" si="2"/>
        <v>0</v>
      </c>
      <c r="P56" s="4"/>
    </row>
    <row r="57" spans="2:16">
      <c r="B57" s="9" t="str">
        <f t="shared" si="8"/>
        <v/>
      </c>
      <c r="C57" s="62">
        <f>IF(D11="","-",+C56+1)</f>
        <v>2064</v>
      </c>
      <c r="D57" s="71">
        <f>IF(F56+SUM(E$17:E56)=D$10,F56,D$10-SUM(E$17:E56))</f>
        <v>0</v>
      </c>
      <c r="E57" s="69">
        <f t="shared" si="3"/>
        <v>0</v>
      </c>
      <c r="F57" s="68">
        <f t="shared" si="4"/>
        <v>0</v>
      </c>
      <c r="G57" s="70">
        <f t="shared" si="5"/>
        <v>0</v>
      </c>
      <c r="H57" s="52">
        <f t="shared" si="6"/>
        <v>0</v>
      </c>
      <c r="I57" s="65">
        <f t="shared" si="7"/>
        <v>0</v>
      </c>
      <c r="J57" s="65"/>
      <c r="K57" s="132"/>
      <c r="L57" s="67">
        <f t="shared" si="0"/>
        <v>0</v>
      </c>
      <c r="M57" s="132"/>
      <c r="N57" s="67">
        <f t="shared" si="1"/>
        <v>0</v>
      </c>
      <c r="O57" s="67">
        <f t="shared" si="2"/>
        <v>0</v>
      </c>
      <c r="P57" s="4"/>
    </row>
    <row r="58" spans="2:16">
      <c r="B58" s="9" t="str">
        <f t="shared" si="8"/>
        <v/>
      </c>
      <c r="C58" s="62">
        <f>IF(D11="","-",+C57+1)</f>
        <v>2065</v>
      </c>
      <c r="D58" s="71">
        <f>IF(F57+SUM(E$17:E57)=D$10,F57,D$10-SUM(E$17:E57))</f>
        <v>0</v>
      </c>
      <c r="E58" s="69">
        <f t="shared" si="3"/>
        <v>0</v>
      </c>
      <c r="F58" s="68">
        <f t="shared" si="4"/>
        <v>0</v>
      </c>
      <c r="G58" s="70">
        <f t="shared" si="5"/>
        <v>0</v>
      </c>
      <c r="H58" s="52">
        <f t="shared" si="6"/>
        <v>0</v>
      </c>
      <c r="I58" s="65">
        <f t="shared" si="7"/>
        <v>0</v>
      </c>
      <c r="J58" s="65"/>
      <c r="K58" s="132"/>
      <c r="L58" s="67">
        <f t="shared" si="0"/>
        <v>0</v>
      </c>
      <c r="M58" s="132"/>
      <c r="N58" s="67">
        <f t="shared" si="1"/>
        <v>0</v>
      </c>
      <c r="O58" s="67">
        <f t="shared" si="2"/>
        <v>0</v>
      </c>
      <c r="P58" s="4"/>
    </row>
    <row r="59" spans="2:16">
      <c r="B59" s="9" t="str">
        <f t="shared" si="8"/>
        <v/>
      </c>
      <c r="C59" s="62">
        <f>IF(D11="","-",+C58+1)</f>
        <v>2066</v>
      </c>
      <c r="D59" s="71">
        <f>IF(F58+SUM(E$17:E58)=D$10,F58,D$10-SUM(E$17:E58))</f>
        <v>0</v>
      </c>
      <c r="E59" s="69">
        <f t="shared" si="3"/>
        <v>0</v>
      </c>
      <c r="F59" s="68">
        <f t="shared" si="4"/>
        <v>0</v>
      </c>
      <c r="G59" s="70">
        <f t="shared" si="5"/>
        <v>0</v>
      </c>
      <c r="H59" s="52">
        <f t="shared" si="6"/>
        <v>0</v>
      </c>
      <c r="I59" s="65">
        <f t="shared" si="7"/>
        <v>0</v>
      </c>
      <c r="J59" s="65"/>
      <c r="K59" s="132"/>
      <c r="L59" s="67">
        <f t="shared" si="0"/>
        <v>0</v>
      </c>
      <c r="M59" s="132"/>
      <c r="N59" s="67">
        <f t="shared" si="1"/>
        <v>0</v>
      </c>
      <c r="O59" s="67">
        <f t="shared" si="2"/>
        <v>0</v>
      </c>
      <c r="P59" s="4"/>
    </row>
    <row r="60" spans="2:16">
      <c r="B60" s="9" t="str">
        <f t="shared" si="8"/>
        <v/>
      </c>
      <c r="C60" s="62">
        <f>IF(D11="","-",+C59+1)</f>
        <v>2067</v>
      </c>
      <c r="D60" s="71">
        <f>IF(F59+SUM(E$17:E59)=D$10,F59,D$10-SUM(E$17:E59))</f>
        <v>0</v>
      </c>
      <c r="E60" s="69">
        <f t="shared" si="3"/>
        <v>0</v>
      </c>
      <c r="F60" s="68">
        <f t="shared" si="4"/>
        <v>0</v>
      </c>
      <c r="G60" s="70">
        <f t="shared" si="5"/>
        <v>0</v>
      </c>
      <c r="H60" s="52">
        <f t="shared" si="6"/>
        <v>0</v>
      </c>
      <c r="I60" s="65">
        <f t="shared" si="7"/>
        <v>0</v>
      </c>
      <c r="J60" s="65"/>
      <c r="K60" s="132"/>
      <c r="L60" s="67">
        <f t="shared" si="0"/>
        <v>0</v>
      </c>
      <c r="M60" s="132"/>
      <c r="N60" s="67">
        <f t="shared" si="1"/>
        <v>0</v>
      </c>
      <c r="O60" s="67">
        <f t="shared" si="2"/>
        <v>0</v>
      </c>
      <c r="P60" s="4"/>
    </row>
    <row r="61" spans="2:16">
      <c r="B61" s="9" t="str">
        <f t="shared" si="8"/>
        <v/>
      </c>
      <c r="C61" s="62">
        <f>IF(D11="","-",+C60+1)</f>
        <v>2068</v>
      </c>
      <c r="D61" s="71">
        <f>IF(F60+SUM(E$17:E60)=D$10,F60,D$10-SUM(E$17:E60))</f>
        <v>0</v>
      </c>
      <c r="E61" s="69">
        <f t="shared" si="3"/>
        <v>0</v>
      </c>
      <c r="F61" s="68">
        <f t="shared" si="4"/>
        <v>0</v>
      </c>
      <c r="G61" s="70">
        <f t="shared" si="5"/>
        <v>0</v>
      </c>
      <c r="H61" s="52">
        <f t="shared" si="6"/>
        <v>0</v>
      </c>
      <c r="I61" s="65">
        <f t="shared" si="7"/>
        <v>0</v>
      </c>
      <c r="J61" s="65"/>
      <c r="K61" s="132"/>
      <c r="L61" s="67">
        <f t="shared" si="0"/>
        <v>0</v>
      </c>
      <c r="M61" s="132"/>
      <c r="N61" s="67">
        <f t="shared" si="1"/>
        <v>0</v>
      </c>
      <c r="O61" s="67">
        <f t="shared" si="2"/>
        <v>0</v>
      </c>
      <c r="P61" s="4"/>
    </row>
    <row r="62" spans="2:16">
      <c r="B62" s="9" t="str">
        <f t="shared" si="8"/>
        <v/>
      </c>
      <c r="C62" s="62">
        <f>IF(D11="","-",+C61+1)</f>
        <v>2069</v>
      </c>
      <c r="D62" s="71">
        <f>IF(F61+SUM(E$17:E61)=D$10,F61,D$10-SUM(E$17:E61))</f>
        <v>0</v>
      </c>
      <c r="E62" s="69">
        <f t="shared" si="3"/>
        <v>0</v>
      </c>
      <c r="F62" s="68">
        <f t="shared" si="4"/>
        <v>0</v>
      </c>
      <c r="G62" s="70">
        <f t="shared" si="5"/>
        <v>0</v>
      </c>
      <c r="H62" s="52">
        <f t="shared" si="6"/>
        <v>0</v>
      </c>
      <c r="I62" s="65">
        <f t="shared" si="7"/>
        <v>0</v>
      </c>
      <c r="J62" s="65"/>
      <c r="K62" s="132"/>
      <c r="L62" s="67">
        <f t="shared" si="0"/>
        <v>0</v>
      </c>
      <c r="M62" s="132"/>
      <c r="N62" s="67">
        <f t="shared" si="1"/>
        <v>0</v>
      </c>
      <c r="O62" s="67">
        <f t="shared" si="2"/>
        <v>0</v>
      </c>
      <c r="P62" s="4"/>
    </row>
    <row r="63" spans="2:16">
      <c r="B63" s="9" t="str">
        <f t="shared" si="8"/>
        <v/>
      </c>
      <c r="C63" s="62">
        <f>IF(D11="","-",+C62+1)</f>
        <v>2070</v>
      </c>
      <c r="D63" s="71">
        <f>IF(F62+SUM(E$17:E62)=D$10,F62,D$10-SUM(E$17:E62))</f>
        <v>0</v>
      </c>
      <c r="E63" s="69">
        <f t="shared" si="3"/>
        <v>0</v>
      </c>
      <c r="F63" s="68">
        <f t="shared" si="4"/>
        <v>0</v>
      </c>
      <c r="G63" s="70">
        <f t="shared" si="5"/>
        <v>0</v>
      </c>
      <c r="H63" s="52">
        <f t="shared" si="6"/>
        <v>0</v>
      </c>
      <c r="I63" s="65">
        <f t="shared" si="7"/>
        <v>0</v>
      </c>
      <c r="J63" s="65"/>
      <c r="K63" s="132"/>
      <c r="L63" s="67">
        <f t="shared" si="0"/>
        <v>0</v>
      </c>
      <c r="M63" s="132"/>
      <c r="N63" s="67">
        <f t="shared" si="1"/>
        <v>0</v>
      </c>
      <c r="O63" s="67">
        <f t="shared" si="2"/>
        <v>0</v>
      </c>
      <c r="P63" s="4"/>
    </row>
    <row r="64" spans="2:16">
      <c r="B64" s="9" t="str">
        <f t="shared" si="8"/>
        <v/>
      </c>
      <c r="C64" s="62">
        <f>IF(D11="","-",+C63+1)</f>
        <v>2071</v>
      </c>
      <c r="D64" s="71">
        <f>IF(F63+SUM(E$17:E63)=D$10,F63,D$10-SUM(E$17:E63))</f>
        <v>0</v>
      </c>
      <c r="E64" s="69">
        <f t="shared" si="3"/>
        <v>0</v>
      </c>
      <c r="F64" s="68">
        <f t="shared" si="4"/>
        <v>0</v>
      </c>
      <c r="G64" s="70">
        <f t="shared" si="5"/>
        <v>0</v>
      </c>
      <c r="H64" s="52">
        <f t="shared" si="6"/>
        <v>0</v>
      </c>
      <c r="I64" s="65">
        <f t="shared" si="7"/>
        <v>0</v>
      </c>
      <c r="J64" s="65"/>
      <c r="K64" s="132"/>
      <c r="L64" s="67">
        <f t="shared" si="0"/>
        <v>0</v>
      </c>
      <c r="M64" s="132"/>
      <c r="N64" s="67">
        <f t="shared" si="1"/>
        <v>0</v>
      </c>
      <c r="O64" s="67">
        <f t="shared" si="2"/>
        <v>0</v>
      </c>
      <c r="P64" s="4"/>
    </row>
    <row r="65" spans="2:16">
      <c r="B65" s="9" t="str">
        <f t="shared" si="8"/>
        <v/>
      </c>
      <c r="C65" s="62">
        <f>IF(D11="","-",+C64+1)</f>
        <v>2072</v>
      </c>
      <c r="D65" s="71">
        <f>IF(F64+SUM(E$17:E64)=D$10,F64,D$10-SUM(E$17:E64))</f>
        <v>0</v>
      </c>
      <c r="E65" s="69">
        <f t="shared" si="3"/>
        <v>0</v>
      </c>
      <c r="F65" s="68">
        <f t="shared" si="4"/>
        <v>0</v>
      </c>
      <c r="G65" s="70">
        <f t="shared" si="5"/>
        <v>0</v>
      </c>
      <c r="H65" s="52">
        <f t="shared" si="6"/>
        <v>0</v>
      </c>
      <c r="I65" s="65">
        <f t="shared" si="7"/>
        <v>0</v>
      </c>
      <c r="J65" s="65"/>
      <c r="K65" s="132"/>
      <c r="L65" s="67">
        <f t="shared" si="0"/>
        <v>0</v>
      </c>
      <c r="M65" s="132"/>
      <c r="N65" s="67">
        <f t="shared" si="1"/>
        <v>0</v>
      </c>
      <c r="O65" s="67">
        <f t="shared" si="2"/>
        <v>0</v>
      </c>
      <c r="P65" s="4"/>
    </row>
    <row r="66" spans="2:16">
      <c r="B66" s="9" t="str">
        <f t="shared" si="8"/>
        <v/>
      </c>
      <c r="C66" s="62">
        <f>IF(D11="","-",+C65+1)</f>
        <v>2073</v>
      </c>
      <c r="D66" s="71">
        <f>IF(F65+SUM(E$17:E65)=D$10,F65,D$10-SUM(E$17:E65))</f>
        <v>0</v>
      </c>
      <c r="E66" s="69">
        <f t="shared" si="3"/>
        <v>0</v>
      </c>
      <c r="F66" s="68">
        <f t="shared" si="4"/>
        <v>0</v>
      </c>
      <c r="G66" s="70">
        <f t="shared" si="5"/>
        <v>0</v>
      </c>
      <c r="H66" s="52">
        <f t="shared" si="6"/>
        <v>0</v>
      </c>
      <c r="I66" s="65">
        <f t="shared" si="7"/>
        <v>0</v>
      </c>
      <c r="J66" s="65"/>
      <c r="K66" s="132"/>
      <c r="L66" s="67">
        <f t="shared" si="0"/>
        <v>0</v>
      </c>
      <c r="M66" s="132"/>
      <c r="N66" s="67">
        <f t="shared" si="1"/>
        <v>0</v>
      </c>
      <c r="O66" s="67">
        <f t="shared" si="2"/>
        <v>0</v>
      </c>
      <c r="P66" s="4"/>
    </row>
    <row r="67" spans="2:16">
      <c r="B67" s="9" t="str">
        <f t="shared" si="8"/>
        <v/>
      </c>
      <c r="C67" s="62">
        <f>IF(D11="","-",+C66+1)</f>
        <v>2074</v>
      </c>
      <c r="D67" s="71">
        <f>IF(F66+SUM(E$17:E66)=D$10,F66,D$10-SUM(E$17:E66))</f>
        <v>0</v>
      </c>
      <c r="E67" s="69">
        <f t="shared" si="3"/>
        <v>0</v>
      </c>
      <c r="F67" s="68">
        <f t="shared" si="4"/>
        <v>0</v>
      </c>
      <c r="G67" s="70">
        <f t="shared" si="5"/>
        <v>0</v>
      </c>
      <c r="H67" s="52">
        <f t="shared" si="6"/>
        <v>0</v>
      </c>
      <c r="I67" s="65">
        <f t="shared" si="7"/>
        <v>0</v>
      </c>
      <c r="J67" s="65"/>
      <c r="K67" s="132"/>
      <c r="L67" s="67">
        <f t="shared" si="0"/>
        <v>0</v>
      </c>
      <c r="M67" s="132"/>
      <c r="N67" s="67">
        <f t="shared" si="1"/>
        <v>0</v>
      </c>
      <c r="O67" s="67">
        <f t="shared" si="2"/>
        <v>0</v>
      </c>
      <c r="P67" s="4"/>
    </row>
    <row r="68" spans="2:16">
      <c r="B68" s="9" t="str">
        <f t="shared" si="8"/>
        <v/>
      </c>
      <c r="C68" s="62">
        <f>IF(D11="","-",+C67+1)</f>
        <v>2075</v>
      </c>
      <c r="D68" s="71">
        <f>IF(F67+SUM(E$17:E67)=D$10,F67,D$10-SUM(E$17:E67))</f>
        <v>0</v>
      </c>
      <c r="E68" s="69">
        <f t="shared" si="3"/>
        <v>0</v>
      </c>
      <c r="F68" s="68">
        <f t="shared" si="4"/>
        <v>0</v>
      </c>
      <c r="G68" s="70">
        <f t="shared" si="5"/>
        <v>0</v>
      </c>
      <c r="H68" s="52">
        <f t="shared" si="6"/>
        <v>0</v>
      </c>
      <c r="I68" s="65">
        <f t="shared" si="7"/>
        <v>0</v>
      </c>
      <c r="J68" s="65"/>
      <c r="K68" s="132"/>
      <c r="L68" s="67">
        <f t="shared" si="0"/>
        <v>0</v>
      </c>
      <c r="M68" s="132"/>
      <c r="N68" s="67">
        <f t="shared" si="1"/>
        <v>0</v>
      </c>
      <c r="O68" s="67">
        <f t="shared" si="2"/>
        <v>0</v>
      </c>
      <c r="P68" s="4"/>
    </row>
    <row r="69" spans="2:16">
      <c r="B69" s="9" t="str">
        <f t="shared" si="8"/>
        <v/>
      </c>
      <c r="C69" s="62">
        <f>IF(D11="","-",+C68+1)</f>
        <v>2076</v>
      </c>
      <c r="D69" s="71">
        <f>IF(F68+SUM(E$17:E68)=D$10,F68,D$10-SUM(E$17:E68))</f>
        <v>0</v>
      </c>
      <c r="E69" s="69">
        <f t="shared" si="3"/>
        <v>0</v>
      </c>
      <c r="F69" s="68">
        <f t="shared" si="4"/>
        <v>0</v>
      </c>
      <c r="G69" s="70">
        <f t="shared" si="5"/>
        <v>0</v>
      </c>
      <c r="H69" s="52">
        <f t="shared" si="6"/>
        <v>0</v>
      </c>
      <c r="I69" s="65">
        <f t="shared" si="7"/>
        <v>0</v>
      </c>
      <c r="J69" s="65"/>
      <c r="K69" s="132"/>
      <c r="L69" s="67">
        <f t="shared" si="0"/>
        <v>0</v>
      </c>
      <c r="M69" s="132"/>
      <c r="N69" s="67">
        <f t="shared" si="1"/>
        <v>0</v>
      </c>
      <c r="O69" s="67">
        <f t="shared" si="2"/>
        <v>0</v>
      </c>
      <c r="P69" s="4"/>
    </row>
    <row r="70" spans="2:16">
      <c r="B70" s="9" t="str">
        <f t="shared" si="8"/>
        <v/>
      </c>
      <c r="C70" s="62">
        <f>IF(D11="","-",+C69+1)</f>
        <v>2077</v>
      </c>
      <c r="D70" s="71">
        <f>IF(F69+SUM(E$17:E69)=D$10,F69,D$10-SUM(E$17:E69))</f>
        <v>0</v>
      </c>
      <c r="E70" s="69">
        <f t="shared" si="3"/>
        <v>0</v>
      </c>
      <c r="F70" s="68">
        <f t="shared" si="4"/>
        <v>0</v>
      </c>
      <c r="G70" s="70">
        <f t="shared" si="5"/>
        <v>0</v>
      </c>
      <c r="H70" s="52">
        <f t="shared" si="6"/>
        <v>0</v>
      </c>
      <c r="I70" s="65">
        <f t="shared" si="7"/>
        <v>0</v>
      </c>
      <c r="J70" s="65"/>
      <c r="K70" s="132"/>
      <c r="L70" s="67">
        <f t="shared" si="0"/>
        <v>0</v>
      </c>
      <c r="M70" s="132"/>
      <c r="N70" s="67">
        <f t="shared" si="1"/>
        <v>0</v>
      </c>
      <c r="O70" s="67">
        <f t="shared" si="2"/>
        <v>0</v>
      </c>
      <c r="P70" s="4"/>
    </row>
    <row r="71" spans="2:16">
      <c r="B71" s="9" t="str">
        <f t="shared" si="8"/>
        <v/>
      </c>
      <c r="C71" s="62">
        <f>IF(D11="","-",+C70+1)</f>
        <v>2078</v>
      </c>
      <c r="D71" s="71">
        <f>IF(F70+SUM(E$17:E70)=D$10,F70,D$10-SUM(E$17:E70))</f>
        <v>0</v>
      </c>
      <c r="E71" s="69">
        <f t="shared" si="3"/>
        <v>0</v>
      </c>
      <c r="F71" s="68">
        <f t="shared" si="4"/>
        <v>0</v>
      </c>
      <c r="G71" s="70">
        <f t="shared" si="5"/>
        <v>0</v>
      </c>
      <c r="H71" s="52">
        <f t="shared" si="6"/>
        <v>0</v>
      </c>
      <c r="I71" s="65">
        <f t="shared" si="7"/>
        <v>0</v>
      </c>
      <c r="J71" s="65"/>
      <c r="K71" s="132"/>
      <c r="L71" s="67">
        <f t="shared" si="0"/>
        <v>0</v>
      </c>
      <c r="M71" s="132"/>
      <c r="N71" s="67">
        <f t="shared" si="1"/>
        <v>0</v>
      </c>
      <c r="O71" s="67">
        <f t="shared" si="2"/>
        <v>0</v>
      </c>
      <c r="P71" s="4"/>
    </row>
    <row r="72" spans="2:16" ht="13.5" thickBot="1">
      <c r="B72" s="9" t="str">
        <f t="shared" si="8"/>
        <v/>
      </c>
      <c r="C72" s="72">
        <f>IF(D11="","-",+C71+1)</f>
        <v>2079</v>
      </c>
      <c r="D72" s="147">
        <f>IF(F71+SUM(E$17:E71)=D$10,F71,D$10-SUM(E$17:E71))</f>
        <v>0</v>
      </c>
      <c r="E72" s="74">
        <f>IF(+I$14&lt;F71,I$14,D72)</f>
        <v>0</v>
      </c>
      <c r="F72" s="73">
        <f>+D72-E72</f>
        <v>0</v>
      </c>
      <c r="G72" s="146">
        <f>(D72+F72)/2*I$12+E72</f>
        <v>0</v>
      </c>
      <c r="H72" s="35">
        <f>+(D72+F72)/2*I$13+E72</f>
        <v>0</v>
      </c>
      <c r="I72" s="75">
        <f>H72-G72</f>
        <v>0</v>
      </c>
      <c r="J72" s="65"/>
      <c r="K72" s="133"/>
      <c r="L72" s="76">
        <f t="shared" si="0"/>
        <v>0</v>
      </c>
      <c r="M72" s="133"/>
      <c r="N72" s="76">
        <f t="shared" si="1"/>
        <v>0</v>
      </c>
      <c r="O72" s="76">
        <f t="shared" si="2"/>
        <v>0</v>
      </c>
      <c r="P72" s="4"/>
    </row>
    <row r="73" spans="2:16">
      <c r="C73" s="63" t="s">
        <v>77</v>
      </c>
      <c r="D73" s="20"/>
      <c r="E73" s="20">
        <f>SUM(E17:E72)</f>
        <v>452.99999999999994</v>
      </c>
      <c r="F73" s="20"/>
      <c r="G73" s="20">
        <f>SUM(G17:G72)</f>
        <v>1457.7239469842987</v>
      </c>
      <c r="H73" s="20">
        <f>SUM(H17:H72)</f>
        <v>1457.7239469842987</v>
      </c>
      <c r="I73" s="20">
        <f>SUM(I17:I72)</f>
        <v>0</v>
      </c>
      <c r="J73" s="20"/>
      <c r="K73" s="20"/>
      <c r="L73" s="20"/>
      <c r="M73" s="20"/>
      <c r="N73" s="20"/>
      <c r="O73" s="4"/>
      <c r="P73" s="4"/>
    </row>
    <row r="74" spans="2:16">
      <c r="D74" s="2"/>
      <c r="E74" s="1"/>
      <c r="F74" s="1"/>
      <c r="G74" s="1"/>
      <c r="H74" s="3"/>
      <c r="I74" s="3"/>
      <c r="J74" s="20"/>
      <c r="K74" s="3"/>
      <c r="L74" s="3"/>
      <c r="M74" s="3"/>
      <c r="N74" s="3"/>
      <c r="O74" s="1"/>
      <c r="P74" s="1"/>
    </row>
    <row r="75" spans="2:16">
      <c r="C75" s="77" t="s">
        <v>106</v>
      </c>
      <c r="D75" s="2"/>
      <c r="E75" s="1"/>
      <c r="F75" s="1"/>
      <c r="G75" s="1"/>
      <c r="H75" s="3"/>
      <c r="I75" s="3"/>
      <c r="J75" s="20"/>
      <c r="K75" s="3"/>
      <c r="L75" s="3"/>
      <c r="M75" s="3"/>
      <c r="N75" s="3"/>
      <c r="O75" s="1"/>
      <c r="P75" s="1"/>
    </row>
    <row r="76" spans="2:16">
      <c r="C76" s="32" t="s">
        <v>78</v>
      </c>
      <c r="D76" s="2"/>
      <c r="E76" s="1"/>
      <c r="F76" s="1"/>
      <c r="G76" s="1"/>
      <c r="H76" s="3"/>
      <c r="I76" s="3"/>
      <c r="J76" s="20"/>
      <c r="K76" s="3"/>
      <c r="L76" s="3"/>
      <c r="M76" s="3"/>
      <c r="N76" s="3"/>
      <c r="O76" s="4"/>
      <c r="P76" s="4"/>
    </row>
    <row r="77" spans="2:16">
      <c r="C77" s="32" t="s">
        <v>79</v>
      </c>
      <c r="D77" s="63"/>
      <c r="E77" s="63"/>
      <c r="F77" s="63"/>
      <c r="G77" s="20"/>
      <c r="H77" s="20"/>
      <c r="I77" s="78"/>
      <c r="J77" s="78"/>
      <c r="K77" s="78"/>
      <c r="L77" s="78"/>
      <c r="M77" s="78"/>
      <c r="N77" s="78"/>
      <c r="O77" s="4"/>
      <c r="P77" s="4"/>
    </row>
    <row r="78" spans="2:16">
      <c r="C78" s="32"/>
      <c r="D78" s="63"/>
      <c r="E78" s="63"/>
      <c r="F78" s="63"/>
      <c r="G78" s="20"/>
      <c r="H78" s="20"/>
      <c r="I78" s="78"/>
      <c r="J78" s="78"/>
      <c r="K78" s="78"/>
      <c r="L78" s="78"/>
      <c r="M78" s="78"/>
      <c r="N78" s="78"/>
      <c r="O78" s="4"/>
      <c r="P78" s="1"/>
    </row>
    <row r="79" spans="2:16">
      <c r="B79" s="1"/>
      <c r="C79" s="10"/>
      <c r="D79" s="2"/>
      <c r="E79" s="1"/>
      <c r="F79" s="18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109"/>
      <c r="D80" s="2"/>
      <c r="E80" s="1"/>
      <c r="F80" s="18"/>
      <c r="G80" s="1"/>
      <c r="H80" s="3"/>
      <c r="I80" s="1"/>
      <c r="J80" s="4"/>
      <c r="K80" s="1"/>
      <c r="L80" s="1"/>
      <c r="M80" s="1"/>
      <c r="N80" s="1"/>
      <c r="P80" s="111" t="s">
        <v>144</v>
      </c>
    </row>
    <row r="81" spans="1:16">
      <c r="B81" s="1"/>
      <c r="C81" s="10"/>
      <c r="D81" s="2"/>
      <c r="E81" s="1"/>
      <c r="F81" s="18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10"/>
      <c r="D82" s="2"/>
      <c r="E82" s="1"/>
      <c r="F82" s="18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110" t="s">
        <v>146</v>
      </c>
      <c r="B83" s="1"/>
      <c r="C83" s="10"/>
      <c r="D83" s="2"/>
      <c r="E83" s="1"/>
      <c r="F83" s="15"/>
      <c r="G83" s="15"/>
      <c r="H83" s="1"/>
      <c r="I83" s="3"/>
      <c r="K83" s="7"/>
      <c r="L83" s="19"/>
      <c r="M83" s="19"/>
      <c r="P83" s="19" t="str">
        <f ca="1">P1</f>
        <v>PSO Project 33 of 33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117" t="s">
        <v>151</v>
      </c>
    </row>
    <row r="85" spans="1:16" ht="18.75" thickBot="1">
      <c r="B85" s="5" t="s">
        <v>42</v>
      </c>
      <c r="C85" s="80" t="s">
        <v>91</v>
      </c>
      <c r="D85" s="2"/>
      <c r="E85" s="1"/>
      <c r="F85" s="1"/>
      <c r="G85" s="1"/>
      <c r="H85" s="1"/>
      <c r="I85" s="3"/>
      <c r="J85" s="3"/>
      <c r="K85" s="20"/>
      <c r="L85" s="3"/>
      <c r="M85" s="3"/>
      <c r="N85" s="3"/>
      <c r="O85" s="20"/>
      <c r="P85" s="1"/>
    </row>
    <row r="86" spans="1:16" ht="15.75" thickBot="1">
      <c r="C86" s="13"/>
      <c r="D86" s="2"/>
      <c r="E86" s="1"/>
      <c r="F86" s="1"/>
      <c r="G86" s="1"/>
      <c r="H86" s="1"/>
      <c r="I86" s="3"/>
      <c r="J86" s="3"/>
      <c r="K86" s="20"/>
      <c r="L86" s="118">
        <f>+J92</f>
        <v>2022</v>
      </c>
      <c r="M86" s="119" t="s">
        <v>8</v>
      </c>
      <c r="N86" s="120" t="s">
        <v>153</v>
      </c>
      <c r="O86" s="121" t="s">
        <v>10</v>
      </c>
      <c r="P86" s="1"/>
    </row>
    <row r="87" spans="1:16" ht="15">
      <c r="C87" s="107" t="s">
        <v>44</v>
      </c>
      <c r="D87" s="2"/>
      <c r="E87" s="1"/>
      <c r="F87" s="1"/>
      <c r="G87" s="1"/>
      <c r="H87" s="22"/>
      <c r="I87" s="1" t="s">
        <v>45</v>
      </c>
      <c r="J87" s="1"/>
      <c r="K87" s="122"/>
      <c r="L87" s="123" t="s">
        <v>154</v>
      </c>
      <c r="M87" s="81">
        <f>IF(J92&lt;D11,0,VLOOKUP(J92,C17:O72,9))</f>
        <v>0</v>
      </c>
      <c r="N87" s="81">
        <f>IF(J92&lt;D11,0,VLOOKUP(J92,C17:O72,11))</f>
        <v>0</v>
      </c>
      <c r="O87" s="82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27"/>
      <c r="J88" s="27"/>
      <c r="K88" s="124"/>
      <c r="L88" s="125" t="s">
        <v>155</v>
      </c>
      <c r="M88" s="83">
        <f>IF(J92&lt;D11,0,VLOOKUP(J92,C99:P154,6))</f>
        <v>0</v>
      </c>
      <c r="N88" s="83">
        <f>IF(J92&lt;D11,0,VLOOKUP(J92,C99:P154,7))</f>
        <v>0</v>
      </c>
      <c r="O88" s="84">
        <f>+N88-M88</f>
        <v>0</v>
      </c>
      <c r="P88" s="1"/>
    </row>
    <row r="89" spans="1:16" ht="13.5" thickBot="1">
      <c r="C89" s="32" t="s">
        <v>92</v>
      </c>
      <c r="D89" s="113" t="str">
        <f>+D7</f>
        <v>Chisholm Substation 345 kV Terminal Upgrades</v>
      </c>
      <c r="E89" s="1"/>
      <c r="F89" s="1"/>
      <c r="G89" s="1"/>
      <c r="H89" s="1"/>
      <c r="I89" s="3"/>
      <c r="J89" s="3"/>
      <c r="K89" s="126"/>
      <c r="L89" s="127" t="s">
        <v>156</v>
      </c>
      <c r="M89" s="86">
        <f>+M88-M87</f>
        <v>0</v>
      </c>
      <c r="N89" s="86">
        <f>+N88-N87</f>
        <v>0</v>
      </c>
      <c r="O89" s="87">
        <f>+O88-O87</f>
        <v>0</v>
      </c>
      <c r="P89" s="1"/>
    </row>
    <row r="90" spans="1:16" ht="13.5" thickBot="1">
      <c r="C90" s="77"/>
      <c r="D90" s="79" t="str">
        <f>D8</f>
        <v>DOES NOT MEET SPP $100,000 MINIMUM INVESTMENT FOR REGIONAL BPU SHARING.</v>
      </c>
      <c r="E90" s="18"/>
      <c r="F90" s="18"/>
      <c r="G90" s="18"/>
      <c r="H90" s="37"/>
      <c r="I90" s="3"/>
      <c r="J90" s="3"/>
      <c r="K90" s="20"/>
      <c r="L90" s="3"/>
      <c r="M90" s="3"/>
      <c r="N90" s="3"/>
      <c r="O90" s="20"/>
      <c r="P90" s="1"/>
    </row>
    <row r="91" spans="1:16" ht="13.5" thickBot="1">
      <c r="A91" s="17"/>
      <c r="C91" s="88" t="s">
        <v>93</v>
      </c>
      <c r="D91" s="105" t="str">
        <f>+D9</f>
        <v>TP2020266</v>
      </c>
      <c r="E91" s="89"/>
      <c r="F91" s="89"/>
      <c r="G91" s="89"/>
      <c r="H91" s="89"/>
      <c r="I91" s="89"/>
      <c r="J91" s="89"/>
      <c r="K91" s="90"/>
      <c r="P91" s="42"/>
    </row>
    <row r="92" spans="1:16">
      <c r="C92" s="145" t="s">
        <v>226</v>
      </c>
      <c r="D92" s="101">
        <f>IF(D11=I10,0,D10)</f>
        <v>0</v>
      </c>
      <c r="E92" s="10" t="s">
        <v>94</v>
      </c>
      <c r="H92" s="44"/>
      <c r="I92" s="44"/>
      <c r="J92" s="45">
        <f>+'PSO.WS.G.BPU.ATRR.True-up'!M16</f>
        <v>2022</v>
      </c>
      <c r="K92" s="41"/>
      <c r="L92" s="20" t="s">
        <v>95</v>
      </c>
      <c r="P92" s="4"/>
    </row>
    <row r="93" spans="1:16">
      <c r="C93" s="46" t="s">
        <v>53</v>
      </c>
      <c r="D93" s="102">
        <v>2015</v>
      </c>
      <c r="E93" s="46" t="s">
        <v>54</v>
      </c>
      <c r="F93" s="44"/>
      <c r="G93" s="44"/>
      <c r="J93" s="48">
        <f>IF(H87="",0,'PSO.WS.G.BPU.ATRR.True-up'!$F$13)</f>
        <v>0</v>
      </c>
      <c r="K93" s="49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46" t="s">
        <v>55</v>
      </c>
      <c r="D94" s="101" t="str">
        <f>IF(D11=I10,"",D12)</f>
        <v/>
      </c>
      <c r="E94" s="46" t="s">
        <v>56</v>
      </c>
      <c r="F94" s="44"/>
      <c r="G94" s="44"/>
      <c r="J94" s="50">
        <f>'PSO.WS.G.BPU.ATRR.True-up'!$F$81</f>
        <v>0.11379279303146381</v>
      </c>
      <c r="K94" s="51"/>
      <c r="L94" t="s">
        <v>96</v>
      </c>
      <c r="P94" s="4"/>
    </row>
    <row r="95" spans="1:16">
      <c r="C95" s="46" t="s">
        <v>58</v>
      </c>
      <c r="D95" s="48">
        <f>'PSO.WS.G.BPU.ATRR.True-up'!F$93</f>
        <v>41</v>
      </c>
      <c r="E95" s="46" t="s">
        <v>59</v>
      </c>
      <c r="F95" s="44"/>
      <c r="G95" s="44"/>
      <c r="J95" s="50">
        <f>IF(H87="",J94,'PSO.WS.G.BPU.ATRR.True-up'!$F$80)</f>
        <v>0.11379279303146381</v>
      </c>
      <c r="K95" s="11"/>
      <c r="L95" s="20" t="s">
        <v>60</v>
      </c>
      <c r="M95" s="11"/>
      <c r="N95" s="11"/>
      <c r="O95" s="11"/>
      <c r="P95" s="4"/>
    </row>
    <row r="96" spans="1:16" ht="13.5" thickBot="1">
      <c r="C96" s="46" t="s">
        <v>61</v>
      </c>
      <c r="D96" s="103" t="str">
        <f>+D14</f>
        <v>No</v>
      </c>
      <c r="E96" s="85" t="s">
        <v>63</v>
      </c>
      <c r="F96" s="91"/>
      <c r="G96" s="91"/>
      <c r="H96" s="92"/>
      <c r="I96" s="92"/>
      <c r="J96" s="35">
        <f>IF(D92=0,0,ROUND(D92/D95,0))</f>
        <v>0</v>
      </c>
      <c r="K96" s="20"/>
      <c r="L96" s="20"/>
      <c r="M96" s="20"/>
      <c r="N96" s="20"/>
      <c r="O96" s="20"/>
      <c r="P96" s="4"/>
    </row>
    <row r="97" spans="1:16" ht="38.25">
      <c r="A97" s="6"/>
      <c r="B97" s="6"/>
      <c r="C97" s="93" t="s">
        <v>50</v>
      </c>
      <c r="D97" s="94" t="s">
        <v>64</v>
      </c>
      <c r="E97" s="56" t="s">
        <v>65</v>
      </c>
      <c r="F97" s="56" t="s">
        <v>66</v>
      </c>
      <c r="G97" s="54" t="s">
        <v>97</v>
      </c>
      <c r="H97" s="144" t="s">
        <v>286</v>
      </c>
      <c r="I97" s="135" t="s">
        <v>287</v>
      </c>
      <c r="J97" s="93" t="s">
        <v>98</v>
      </c>
      <c r="K97" s="95"/>
      <c r="L97" s="56" t="s">
        <v>102</v>
      </c>
      <c r="M97" s="56" t="s">
        <v>99</v>
      </c>
      <c r="N97" s="56" t="s">
        <v>102</v>
      </c>
      <c r="O97" s="56" t="s">
        <v>99</v>
      </c>
      <c r="P97" s="56" t="s">
        <v>69</v>
      </c>
    </row>
    <row r="98" spans="1:16" ht="13.5" thickBot="1">
      <c r="C98" s="57" t="s">
        <v>70</v>
      </c>
      <c r="D98" s="96" t="s">
        <v>71</v>
      </c>
      <c r="E98" s="57" t="s">
        <v>72</v>
      </c>
      <c r="F98" s="57" t="s">
        <v>71</v>
      </c>
      <c r="G98" s="57" t="s">
        <v>71</v>
      </c>
      <c r="H98" s="128" t="s">
        <v>73</v>
      </c>
      <c r="I98" s="58" t="s">
        <v>74</v>
      </c>
      <c r="J98" s="59" t="s">
        <v>104</v>
      </c>
      <c r="K98" s="60"/>
      <c r="L98" s="61" t="s">
        <v>76</v>
      </c>
      <c r="M98" s="61" t="s">
        <v>76</v>
      </c>
      <c r="N98" s="61" t="s">
        <v>105</v>
      </c>
      <c r="O98" s="61" t="s">
        <v>105</v>
      </c>
      <c r="P98" s="61" t="s">
        <v>105</v>
      </c>
    </row>
    <row r="99" spans="1:16">
      <c r="C99" s="62">
        <f>IF(D93= "","-",D93)</f>
        <v>2015</v>
      </c>
      <c r="D99" s="63">
        <v>0</v>
      </c>
      <c r="E99" s="70">
        <f>IF(OR(D11=I10,D92&lt;100000),0,J$96/12*(12-D94))</f>
        <v>0</v>
      </c>
      <c r="F99" s="68">
        <f>IF(D93=C99,+D92-E99,+D99-E99)</f>
        <v>0</v>
      </c>
      <c r="G99" s="97">
        <f>+(F99+D99)/2</f>
        <v>0</v>
      </c>
      <c r="H99" s="97">
        <f>+J$94*G99+E99</f>
        <v>0</v>
      </c>
      <c r="I99" s="97">
        <f>+J$95*G99+E99</f>
        <v>0</v>
      </c>
      <c r="J99" s="67">
        <f>+I99-H99</f>
        <v>0</v>
      </c>
      <c r="K99" s="67"/>
      <c r="L99" s="131"/>
      <c r="M99" s="66">
        <f t="shared" ref="M99:M130" si="9">IF(L99&lt;&gt;0,+H99-L99,0)</f>
        <v>0</v>
      </c>
      <c r="N99" s="131"/>
      <c r="O99" s="66">
        <f t="shared" ref="O99:O130" si="10">IF(N99&lt;&gt;0,+I99-N99,0)</f>
        <v>0</v>
      </c>
      <c r="P99" s="66">
        <f t="shared" ref="P99:P130" si="11">+O99-M99</f>
        <v>0</v>
      </c>
    </row>
    <row r="100" spans="1:16">
      <c r="B100" s="9" t="str">
        <f>IF(D100=F99,"","IU")</f>
        <v/>
      </c>
      <c r="C100" s="62">
        <f>IF(D93="","-",+C99+1)</f>
        <v>2016</v>
      </c>
      <c r="D100" s="63">
        <f>IF(F99+SUM(E$99:E99)=D$92,F99,D$92-SUM(E$99:E99))</f>
        <v>0</v>
      </c>
      <c r="E100" s="69">
        <f>IF(+J$96&lt;F99,J$96,D100)</f>
        <v>0</v>
      </c>
      <c r="F100" s="68">
        <f>+D100-E100</f>
        <v>0</v>
      </c>
      <c r="G100" s="68">
        <f>+(F100+D100)/2</f>
        <v>0</v>
      </c>
      <c r="H100" s="130">
        <f t="shared" ref="H100:H154" si="12">+J$94*G100+E100</f>
        <v>0</v>
      </c>
      <c r="I100" s="139">
        <f t="shared" ref="I100:I154" si="13">+J$95*G100+E100</f>
        <v>0</v>
      </c>
      <c r="J100" s="67">
        <f t="shared" ref="J100:J130" si="14">+I100-H100</f>
        <v>0</v>
      </c>
      <c r="K100" s="67"/>
      <c r="L100" s="132"/>
      <c r="M100" s="67">
        <f t="shared" si="9"/>
        <v>0</v>
      </c>
      <c r="N100" s="132"/>
      <c r="O100" s="67">
        <f t="shared" si="10"/>
        <v>0</v>
      </c>
      <c r="P100" s="67">
        <f t="shared" si="11"/>
        <v>0</v>
      </c>
    </row>
    <row r="101" spans="1:16">
      <c r="B101" s="9" t="str">
        <f t="shared" ref="B101:B154" si="15">IF(D101=F100,"","IU")</f>
        <v/>
      </c>
      <c r="C101" s="62">
        <f>IF(D93="","-",+C100+1)</f>
        <v>2017</v>
      </c>
      <c r="D101" s="63">
        <f>IF(F100+SUM(E$99:E100)=D$92,F100,D$92-SUM(E$99:E100))</f>
        <v>0</v>
      </c>
      <c r="E101" s="69">
        <f t="shared" ref="E101:E154" si="16">IF(+J$96&lt;F100,J$96,D101)</f>
        <v>0</v>
      </c>
      <c r="F101" s="68">
        <f t="shared" ref="F101:F154" si="17">+D101-E101</f>
        <v>0</v>
      </c>
      <c r="G101" s="68">
        <f t="shared" ref="G101:G154" si="18">+(F101+D101)/2</f>
        <v>0</v>
      </c>
      <c r="H101" s="130">
        <f t="shared" si="12"/>
        <v>0</v>
      </c>
      <c r="I101" s="139">
        <f t="shared" si="13"/>
        <v>0</v>
      </c>
      <c r="J101" s="67">
        <f t="shared" si="14"/>
        <v>0</v>
      </c>
      <c r="K101" s="67"/>
      <c r="L101" s="132"/>
      <c r="M101" s="67">
        <f t="shared" si="9"/>
        <v>0</v>
      </c>
      <c r="N101" s="132"/>
      <c r="O101" s="67">
        <f t="shared" si="10"/>
        <v>0</v>
      </c>
      <c r="P101" s="67">
        <f t="shared" si="11"/>
        <v>0</v>
      </c>
    </row>
    <row r="102" spans="1:16">
      <c r="B102" s="9" t="str">
        <f t="shared" si="15"/>
        <v/>
      </c>
      <c r="C102" s="62">
        <f>IF(D93="","-",+C101+1)</f>
        <v>2018</v>
      </c>
      <c r="D102" s="63">
        <f>IF(F101+SUM(E$99:E101)=D$92,F101,D$92-SUM(E$99:E101))</f>
        <v>0</v>
      </c>
      <c r="E102" s="69">
        <f t="shared" si="16"/>
        <v>0</v>
      </c>
      <c r="F102" s="68">
        <f t="shared" si="17"/>
        <v>0</v>
      </c>
      <c r="G102" s="68">
        <f t="shared" si="18"/>
        <v>0</v>
      </c>
      <c r="H102" s="130">
        <f t="shared" si="12"/>
        <v>0</v>
      </c>
      <c r="I102" s="139">
        <f t="shared" si="13"/>
        <v>0</v>
      </c>
      <c r="J102" s="67">
        <f t="shared" si="14"/>
        <v>0</v>
      </c>
      <c r="K102" s="67"/>
      <c r="L102" s="132"/>
      <c r="M102" s="67">
        <f t="shared" si="9"/>
        <v>0</v>
      </c>
      <c r="N102" s="132"/>
      <c r="O102" s="67">
        <f t="shared" si="10"/>
        <v>0</v>
      </c>
      <c r="P102" s="67">
        <f t="shared" si="11"/>
        <v>0</v>
      </c>
    </row>
    <row r="103" spans="1:16">
      <c r="B103" s="9" t="str">
        <f t="shared" si="15"/>
        <v/>
      </c>
      <c r="C103" s="62">
        <f>IF(D93="","-",+C102+1)</f>
        <v>2019</v>
      </c>
      <c r="D103" s="63">
        <f>IF(F102+SUM(E$99:E102)=D$92,F102,D$92-SUM(E$99:E102))</f>
        <v>0</v>
      </c>
      <c r="E103" s="69">
        <f t="shared" si="16"/>
        <v>0</v>
      </c>
      <c r="F103" s="68">
        <f t="shared" si="17"/>
        <v>0</v>
      </c>
      <c r="G103" s="68">
        <f t="shared" si="18"/>
        <v>0</v>
      </c>
      <c r="H103" s="130">
        <f t="shared" si="12"/>
        <v>0</v>
      </c>
      <c r="I103" s="139">
        <f t="shared" si="13"/>
        <v>0</v>
      </c>
      <c r="J103" s="67">
        <f t="shared" si="14"/>
        <v>0</v>
      </c>
      <c r="K103" s="67"/>
      <c r="L103" s="132"/>
      <c r="M103" s="67">
        <f t="shared" si="9"/>
        <v>0</v>
      </c>
      <c r="N103" s="132"/>
      <c r="O103" s="67">
        <f t="shared" si="10"/>
        <v>0</v>
      </c>
      <c r="P103" s="67">
        <f t="shared" si="11"/>
        <v>0</v>
      </c>
    </row>
    <row r="104" spans="1:16">
      <c r="B104" s="9" t="str">
        <f t="shared" si="15"/>
        <v/>
      </c>
      <c r="C104" s="62">
        <f>IF(D93="","-",+C103+1)</f>
        <v>2020</v>
      </c>
      <c r="D104" s="63">
        <f>IF(F103+SUM(E$99:E103)=D$92,F103,D$92-SUM(E$99:E103))</f>
        <v>0</v>
      </c>
      <c r="E104" s="69">
        <f t="shared" si="16"/>
        <v>0</v>
      </c>
      <c r="F104" s="68">
        <f t="shared" si="17"/>
        <v>0</v>
      </c>
      <c r="G104" s="68">
        <f t="shared" si="18"/>
        <v>0</v>
      </c>
      <c r="H104" s="130">
        <f t="shared" si="12"/>
        <v>0</v>
      </c>
      <c r="I104" s="139">
        <f t="shared" si="13"/>
        <v>0</v>
      </c>
      <c r="J104" s="67">
        <f t="shared" si="14"/>
        <v>0</v>
      </c>
      <c r="K104" s="67"/>
      <c r="L104" s="132"/>
      <c r="M104" s="67">
        <f t="shared" si="9"/>
        <v>0</v>
      </c>
      <c r="N104" s="132"/>
      <c r="O104" s="67">
        <f t="shared" si="10"/>
        <v>0</v>
      </c>
      <c r="P104" s="67">
        <f t="shared" si="11"/>
        <v>0</v>
      </c>
    </row>
    <row r="105" spans="1:16">
      <c r="B105" s="9" t="str">
        <f t="shared" si="15"/>
        <v/>
      </c>
      <c r="C105" s="62">
        <f>IF(D93="","-",+C104+1)</f>
        <v>2021</v>
      </c>
      <c r="D105" s="63">
        <f>IF(F104+SUM(E$99:E104)=D$92,F104,D$92-SUM(E$99:E104))</f>
        <v>0</v>
      </c>
      <c r="E105" s="69">
        <f t="shared" si="16"/>
        <v>0</v>
      </c>
      <c r="F105" s="68">
        <f t="shared" si="17"/>
        <v>0</v>
      </c>
      <c r="G105" s="68">
        <f t="shared" si="18"/>
        <v>0</v>
      </c>
      <c r="H105" s="130">
        <f t="shared" si="12"/>
        <v>0</v>
      </c>
      <c r="I105" s="139">
        <f t="shared" si="13"/>
        <v>0</v>
      </c>
      <c r="J105" s="67">
        <f t="shared" si="14"/>
        <v>0</v>
      </c>
      <c r="K105" s="67"/>
      <c r="L105" s="132"/>
      <c r="M105" s="67">
        <f t="shared" si="9"/>
        <v>0</v>
      </c>
      <c r="N105" s="132"/>
      <c r="O105" s="67">
        <f t="shared" si="10"/>
        <v>0</v>
      </c>
      <c r="P105" s="67">
        <f t="shared" si="11"/>
        <v>0</v>
      </c>
    </row>
    <row r="106" spans="1:16">
      <c r="B106" s="9" t="str">
        <f t="shared" si="15"/>
        <v/>
      </c>
      <c r="C106" s="62">
        <f>IF(D93="","-",+C105+1)</f>
        <v>2022</v>
      </c>
      <c r="D106" s="63">
        <f>IF(F105+SUM(E$99:E105)=D$92,F105,D$92-SUM(E$99:E105))</f>
        <v>0</v>
      </c>
      <c r="E106" s="69">
        <f t="shared" si="16"/>
        <v>0</v>
      </c>
      <c r="F106" s="68">
        <f t="shared" si="17"/>
        <v>0</v>
      </c>
      <c r="G106" s="68">
        <f t="shared" si="18"/>
        <v>0</v>
      </c>
      <c r="H106" s="130">
        <f t="shared" si="12"/>
        <v>0</v>
      </c>
      <c r="I106" s="139">
        <f t="shared" si="13"/>
        <v>0</v>
      </c>
      <c r="J106" s="67">
        <f t="shared" si="14"/>
        <v>0</v>
      </c>
      <c r="K106" s="67"/>
      <c r="L106" s="132"/>
      <c r="M106" s="67">
        <f t="shared" si="9"/>
        <v>0</v>
      </c>
      <c r="N106" s="132"/>
      <c r="O106" s="67">
        <f t="shared" si="10"/>
        <v>0</v>
      </c>
      <c r="P106" s="67">
        <f t="shared" si="11"/>
        <v>0</v>
      </c>
    </row>
    <row r="107" spans="1:16">
      <c r="B107" s="9" t="str">
        <f t="shared" si="15"/>
        <v/>
      </c>
      <c r="C107" s="62">
        <f>IF(D93="","-",+C106+1)</f>
        <v>2023</v>
      </c>
      <c r="D107" s="63">
        <f>IF(F106+SUM(E$99:E106)=D$92,F106,D$92-SUM(E$99:E106))</f>
        <v>0</v>
      </c>
      <c r="E107" s="69">
        <f t="shared" si="16"/>
        <v>0</v>
      </c>
      <c r="F107" s="68">
        <f t="shared" si="17"/>
        <v>0</v>
      </c>
      <c r="G107" s="68">
        <f t="shared" si="18"/>
        <v>0</v>
      </c>
      <c r="H107" s="130">
        <f t="shared" si="12"/>
        <v>0</v>
      </c>
      <c r="I107" s="139">
        <f t="shared" si="13"/>
        <v>0</v>
      </c>
      <c r="J107" s="67">
        <f t="shared" si="14"/>
        <v>0</v>
      </c>
      <c r="K107" s="67"/>
      <c r="L107" s="132"/>
      <c r="M107" s="67">
        <f t="shared" si="9"/>
        <v>0</v>
      </c>
      <c r="N107" s="132"/>
      <c r="O107" s="67">
        <f t="shared" si="10"/>
        <v>0</v>
      </c>
      <c r="P107" s="67">
        <f t="shared" si="11"/>
        <v>0</v>
      </c>
    </row>
    <row r="108" spans="1:16">
      <c r="B108" s="9" t="str">
        <f t="shared" si="15"/>
        <v/>
      </c>
      <c r="C108" s="62">
        <f>IF(D93="","-",+C107+1)</f>
        <v>2024</v>
      </c>
      <c r="D108" s="63">
        <f>IF(F107+SUM(E$99:E107)=D$92,F107,D$92-SUM(E$99:E107))</f>
        <v>0</v>
      </c>
      <c r="E108" s="69">
        <f t="shared" si="16"/>
        <v>0</v>
      </c>
      <c r="F108" s="68">
        <f t="shared" si="17"/>
        <v>0</v>
      </c>
      <c r="G108" s="68">
        <f t="shared" si="18"/>
        <v>0</v>
      </c>
      <c r="H108" s="130">
        <f t="shared" si="12"/>
        <v>0</v>
      </c>
      <c r="I108" s="139">
        <f t="shared" si="13"/>
        <v>0</v>
      </c>
      <c r="J108" s="67">
        <f t="shared" si="14"/>
        <v>0</v>
      </c>
      <c r="K108" s="67"/>
      <c r="L108" s="132"/>
      <c r="M108" s="67">
        <f t="shared" si="9"/>
        <v>0</v>
      </c>
      <c r="N108" s="132"/>
      <c r="O108" s="67">
        <f t="shared" si="10"/>
        <v>0</v>
      </c>
      <c r="P108" s="67">
        <f t="shared" si="11"/>
        <v>0</v>
      </c>
    </row>
    <row r="109" spans="1:16">
      <c r="B109" s="9" t="str">
        <f t="shared" si="15"/>
        <v/>
      </c>
      <c r="C109" s="62">
        <f>IF(D93="","-",+C108+1)</f>
        <v>2025</v>
      </c>
      <c r="D109" s="63">
        <f>IF(F108+SUM(E$99:E108)=D$92,F108,D$92-SUM(E$99:E108))</f>
        <v>0</v>
      </c>
      <c r="E109" s="69">
        <f t="shared" si="16"/>
        <v>0</v>
      </c>
      <c r="F109" s="68">
        <f t="shared" si="17"/>
        <v>0</v>
      </c>
      <c r="G109" s="68">
        <f t="shared" si="18"/>
        <v>0</v>
      </c>
      <c r="H109" s="130">
        <f t="shared" si="12"/>
        <v>0</v>
      </c>
      <c r="I109" s="139">
        <f t="shared" si="13"/>
        <v>0</v>
      </c>
      <c r="J109" s="67">
        <f t="shared" si="14"/>
        <v>0</v>
      </c>
      <c r="K109" s="67"/>
      <c r="L109" s="132"/>
      <c r="M109" s="67">
        <f t="shared" si="9"/>
        <v>0</v>
      </c>
      <c r="N109" s="132"/>
      <c r="O109" s="67">
        <f t="shared" si="10"/>
        <v>0</v>
      </c>
      <c r="P109" s="67">
        <f t="shared" si="11"/>
        <v>0</v>
      </c>
    </row>
    <row r="110" spans="1:16">
      <c r="B110" s="9" t="str">
        <f t="shared" si="15"/>
        <v/>
      </c>
      <c r="C110" s="62">
        <f>IF(D93="","-",+C109+1)</f>
        <v>2026</v>
      </c>
      <c r="D110" s="63">
        <f>IF(F109+SUM(E$99:E109)=D$92,F109,D$92-SUM(E$99:E109))</f>
        <v>0</v>
      </c>
      <c r="E110" s="69">
        <f t="shared" si="16"/>
        <v>0</v>
      </c>
      <c r="F110" s="68">
        <f t="shared" si="17"/>
        <v>0</v>
      </c>
      <c r="G110" s="68">
        <f t="shared" si="18"/>
        <v>0</v>
      </c>
      <c r="H110" s="130">
        <f t="shared" si="12"/>
        <v>0</v>
      </c>
      <c r="I110" s="139">
        <f t="shared" si="13"/>
        <v>0</v>
      </c>
      <c r="J110" s="67">
        <f t="shared" si="14"/>
        <v>0</v>
      </c>
      <c r="K110" s="67"/>
      <c r="L110" s="132"/>
      <c r="M110" s="67">
        <f t="shared" si="9"/>
        <v>0</v>
      </c>
      <c r="N110" s="132"/>
      <c r="O110" s="67">
        <f t="shared" si="10"/>
        <v>0</v>
      </c>
      <c r="P110" s="67">
        <f t="shared" si="11"/>
        <v>0</v>
      </c>
    </row>
    <row r="111" spans="1:16">
      <c r="B111" s="9" t="str">
        <f t="shared" si="15"/>
        <v/>
      </c>
      <c r="C111" s="62">
        <f>IF(D93="","-",+C110+1)</f>
        <v>2027</v>
      </c>
      <c r="D111" s="63">
        <f>IF(F110+SUM(E$99:E110)=D$92,F110,D$92-SUM(E$99:E110))</f>
        <v>0</v>
      </c>
      <c r="E111" s="69">
        <f t="shared" si="16"/>
        <v>0</v>
      </c>
      <c r="F111" s="68">
        <f t="shared" si="17"/>
        <v>0</v>
      </c>
      <c r="G111" s="68">
        <f t="shared" si="18"/>
        <v>0</v>
      </c>
      <c r="H111" s="130">
        <f t="shared" si="12"/>
        <v>0</v>
      </c>
      <c r="I111" s="139">
        <f t="shared" si="13"/>
        <v>0</v>
      </c>
      <c r="J111" s="67">
        <f t="shared" si="14"/>
        <v>0</v>
      </c>
      <c r="K111" s="67"/>
      <c r="L111" s="132"/>
      <c r="M111" s="67">
        <f t="shared" si="9"/>
        <v>0</v>
      </c>
      <c r="N111" s="132"/>
      <c r="O111" s="67">
        <f t="shared" si="10"/>
        <v>0</v>
      </c>
      <c r="P111" s="67">
        <f t="shared" si="11"/>
        <v>0</v>
      </c>
    </row>
    <row r="112" spans="1:16">
      <c r="B112" s="9" t="str">
        <f t="shared" si="15"/>
        <v/>
      </c>
      <c r="C112" s="62">
        <f>IF(D93="","-",+C111+1)</f>
        <v>2028</v>
      </c>
      <c r="D112" s="63">
        <f>IF(F111+SUM(E$99:E111)=D$92,F111,D$92-SUM(E$99:E111))</f>
        <v>0</v>
      </c>
      <c r="E112" s="69">
        <f t="shared" si="16"/>
        <v>0</v>
      </c>
      <c r="F112" s="68">
        <f t="shared" si="17"/>
        <v>0</v>
      </c>
      <c r="G112" s="68">
        <f t="shared" si="18"/>
        <v>0</v>
      </c>
      <c r="H112" s="130">
        <f t="shared" si="12"/>
        <v>0</v>
      </c>
      <c r="I112" s="139">
        <f t="shared" si="13"/>
        <v>0</v>
      </c>
      <c r="J112" s="67">
        <f t="shared" si="14"/>
        <v>0</v>
      </c>
      <c r="K112" s="67"/>
      <c r="L112" s="132"/>
      <c r="M112" s="67">
        <f t="shared" si="9"/>
        <v>0</v>
      </c>
      <c r="N112" s="132"/>
      <c r="O112" s="67">
        <f t="shared" si="10"/>
        <v>0</v>
      </c>
      <c r="P112" s="67">
        <f t="shared" si="11"/>
        <v>0</v>
      </c>
    </row>
    <row r="113" spans="2:16">
      <c r="B113" s="9" t="str">
        <f t="shared" si="15"/>
        <v/>
      </c>
      <c r="C113" s="62">
        <f>IF(D93="","-",+C112+1)</f>
        <v>2029</v>
      </c>
      <c r="D113" s="63">
        <f>IF(F112+SUM(E$99:E112)=D$92,F112,D$92-SUM(E$99:E112))</f>
        <v>0</v>
      </c>
      <c r="E113" s="69">
        <f t="shared" si="16"/>
        <v>0</v>
      </c>
      <c r="F113" s="68">
        <f t="shared" si="17"/>
        <v>0</v>
      </c>
      <c r="G113" s="68">
        <f t="shared" si="18"/>
        <v>0</v>
      </c>
      <c r="H113" s="130">
        <f t="shared" si="12"/>
        <v>0</v>
      </c>
      <c r="I113" s="139">
        <f t="shared" si="13"/>
        <v>0</v>
      </c>
      <c r="J113" s="67">
        <f t="shared" si="14"/>
        <v>0</v>
      </c>
      <c r="K113" s="67"/>
      <c r="L113" s="132"/>
      <c r="M113" s="67">
        <f t="shared" si="9"/>
        <v>0</v>
      </c>
      <c r="N113" s="132"/>
      <c r="O113" s="67">
        <f t="shared" si="10"/>
        <v>0</v>
      </c>
      <c r="P113" s="67">
        <f t="shared" si="11"/>
        <v>0</v>
      </c>
    </row>
    <row r="114" spans="2:16">
      <c r="B114" s="9" t="str">
        <f t="shared" si="15"/>
        <v/>
      </c>
      <c r="C114" s="62">
        <f>IF(D93="","-",+C113+1)</f>
        <v>2030</v>
      </c>
      <c r="D114" s="63">
        <f>IF(F113+SUM(E$99:E113)=D$92,F113,D$92-SUM(E$99:E113))</f>
        <v>0</v>
      </c>
      <c r="E114" s="69">
        <f t="shared" si="16"/>
        <v>0</v>
      </c>
      <c r="F114" s="68">
        <f t="shared" si="17"/>
        <v>0</v>
      </c>
      <c r="G114" s="68">
        <f t="shared" si="18"/>
        <v>0</v>
      </c>
      <c r="H114" s="130">
        <f t="shared" si="12"/>
        <v>0</v>
      </c>
      <c r="I114" s="139">
        <f t="shared" si="13"/>
        <v>0</v>
      </c>
      <c r="J114" s="67">
        <f t="shared" si="14"/>
        <v>0</v>
      </c>
      <c r="K114" s="67"/>
      <c r="L114" s="132"/>
      <c r="M114" s="67">
        <f t="shared" si="9"/>
        <v>0</v>
      </c>
      <c r="N114" s="132"/>
      <c r="O114" s="67">
        <f t="shared" si="10"/>
        <v>0</v>
      </c>
      <c r="P114" s="67">
        <f t="shared" si="11"/>
        <v>0</v>
      </c>
    </row>
    <row r="115" spans="2:16">
      <c r="B115" s="9" t="str">
        <f t="shared" si="15"/>
        <v/>
      </c>
      <c r="C115" s="62">
        <f>IF(D93="","-",+C114+1)</f>
        <v>2031</v>
      </c>
      <c r="D115" s="63">
        <f>IF(F114+SUM(E$99:E114)=D$92,F114,D$92-SUM(E$99:E114))</f>
        <v>0</v>
      </c>
      <c r="E115" s="69">
        <f t="shared" si="16"/>
        <v>0</v>
      </c>
      <c r="F115" s="68">
        <f t="shared" si="17"/>
        <v>0</v>
      </c>
      <c r="G115" s="68">
        <f t="shared" si="18"/>
        <v>0</v>
      </c>
      <c r="H115" s="130">
        <f t="shared" si="12"/>
        <v>0</v>
      </c>
      <c r="I115" s="139">
        <f t="shared" si="13"/>
        <v>0</v>
      </c>
      <c r="J115" s="67">
        <f t="shared" si="14"/>
        <v>0</v>
      </c>
      <c r="K115" s="67"/>
      <c r="L115" s="132"/>
      <c r="M115" s="67">
        <f t="shared" si="9"/>
        <v>0</v>
      </c>
      <c r="N115" s="132"/>
      <c r="O115" s="67">
        <f t="shared" si="10"/>
        <v>0</v>
      </c>
      <c r="P115" s="67">
        <f t="shared" si="11"/>
        <v>0</v>
      </c>
    </row>
    <row r="116" spans="2:16">
      <c r="B116" s="9" t="str">
        <f t="shared" si="15"/>
        <v/>
      </c>
      <c r="C116" s="62">
        <f>IF(D93="","-",+C115+1)</f>
        <v>2032</v>
      </c>
      <c r="D116" s="63">
        <f>IF(F115+SUM(E$99:E115)=D$92,F115,D$92-SUM(E$99:E115))</f>
        <v>0</v>
      </c>
      <c r="E116" s="69">
        <f t="shared" si="16"/>
        <v>0</v>
      </c>
      <c r="F116" s="68">
        <f t="shared" si="17"/>
        <v>0</v>
      </c>
      <c r="G116" s="68">
        <f t="shared" si="18"/>
        <v>0</v>
      </c>
      <c r="H116" s="130">
        <f t="shared" si="12"/>
        <v>0</v>
      </c>
      <c r="I116" s="139">
        <f t="shared" si="13"/>
        <v>0</v>
      </c>
      <c r="J116" s="67">
        <f t="shared" si="14"/>
        <v>0</v>
      </c>
      <c r="K116" s="67"/>
      <c r="L116" s="132"/>
      <c r="M116" s="67">
        <f t="shared" si="9"/>
        <v>0</v>
      </c>
      <c r="N116" s="132"/>
      <c r="O116" s="67">
        <f t="shared" si="10"/>
        <v>0</v>
      </c>
      <c r="P116" s="67">
        <f t="shared" si="11"/>
        <v>0</v>
      </c>
    </row>
    <row r="117" spans="2:16">
      <c r="B117" s="9" t="str">
        <f t="shared" si="15"/>
        <v/>
      </c>
      <c r="C117" s="62">
        <f>IF(D93="","-",+C116+1)</f>
        <v>2033</v>
      </c>
      <c r="D117" s="63">
        <f>IF(F116+SUM(E$99:E116)=D$92,F116,D$92-SUM(E$99:E116))</f>
        <v>0</v>
      </c>
      <c r="E117" s="69">
        <f t="shared" si="16"/>
        <v>0</v>
      </c>
      <c r="F117" s="68">
        <f t="shared" si="17"/>
        <v>0</v>
      </c>
      <c r="G117" s="68">
        <f t="shared" si="18"/>
        <v>0</v>
      </c>
      <c r="H117" s="130">
        <f t="shared" si="12"/>
        <v>0</v>
      </c>
      <c r="I117" s="139">
        <f t="shared" si="13"/>
        <v>0</v>
      </c>
      <c r="J117" s="67">
        <f t="shared" si="14"/>
        <v>0</v>
      </c>
      <c r="K117" s="67"/>
      <c r="L117" s="132"/>
      <c r="M117" s="67">
        <f t="shared" si="9"/>
        <v>0</v>
      </c>
      <c r="N117" s="132"/>
      <c r="O117" s="67">
        <f t="shared" si="10"/>
        <v>0</v>
      </c>
      <c r="P117" s="67">
        <f t="shared" si="11"/>
        <v>0</v>
      </c>
    </row>
    <row r="118" spans="2:16">
      <c r="B118" s="9" t="str">
        <f t="shared" si="15"/>
        <v/>
      </c>
      <c r="C118" s="62">
        <f>IF(D93="","-",+C117+1)</f>
        <v>2034</v>
      </c>
      <c r="D118" s="63">
        <f>IF(F117+SUM(E$99:E117)=D$92,F117,D$92-SUM(E$99:E117))</f>
        <v>0</v>
      </c>
      <c r="E118" s="69">
        <f t="shared" si="16"/>
        <v>0</v>
      </c>
      <c r="F118" s="68">
        <f t="shared" si="17"/>
        <v>0</v>
      </c>
      <c r="G118" s="68">
        <f t="shared" si="18"/>
        <v>0</v>
      </c>
      <c r="H118" s="130">
        <f t="shared" si="12"/>
        <v>0</v>
      </c>
      <c r="I118" s="139">
        <f t="shared" si="13"/>
        <v>0</v>
      </c>
      <c r="J118" s="67">
        <f t="shared" si="14"/>
        <v>0</v>
      </c>
      <c r="K118" s="67"/>
      <c r="L118" s="132"/>
      <c r="M118" s="67">
        <f t="shared" si="9"/>
        <v>0</v>
      </c>
      <c r="N118" s="132"/>
      <c r="O118" s="67">
        <f t="shared" si="10"/>
        <v>0</v>
      </c>
      <c r="P118" s="67">
        <f t="shared" si="11"/>
        <v>0</v>
      </c>
    </row>
    <row r="119" spans="2:16">
      <c r="B119" s="9" t="str">
        <f t="shared" si="15"/>
        <v/>
      </c>
      <c r="C119" s="62">
        <f>IF(D93="","-",+C118+1)</f>
        <v>2035</v>
      </c>
      <c r="D119" s="63">
        <f>IF(F118+SUM(E$99:E118)=D$92,F118,D$92-SUM(E$99:E118))</f>
        <v>0</v>
      </c>
      <c r="E119" s="69">
        <f t="shared" si="16"/>
        <v>0</v>
      </c>
      <c r="F119" s="68">
        <f t="shared" si="17"/>
        <v>0</v>
      </c>
      <c r="G119" s="68">
        <f t="shared" si="18"/>
        <v>0</v>
      </c>
      <c r="H119" s="130">
        <f t="shared" si="12"/>
        <v>0</v>
      </c>
      <c r="I119" s="139">
        <f t="shared" si="13"/>
        <v>0</v>
      </c>
      <c r="J119" s="67">
        <f t="shared" si="14"/>
        <v>0</v>
      </c>
      <c r="K119" s="67"/>
      <c r="L119" s="132"/>
      <c r="M119" s="67">
        <f t="shared" si="9"/>
        <v>0</v>
      </c>
      <c r="N119" s="132"/>
      <c r="O119" s="67">
        <f t="shared" si="10"/>
        <v>0</v>
      </c>
      <c r="P119" s="67">
        <f t="shared" si="11"/>
        <v>0</v>
      </c>
    </row>
    <row r="120" spans="2:16">
      <c r="B120" s="9" t="str">
        <f t="shared" si="15"/>
        <v/>
      </c>
      <c r="C120" s="62">
        <f>IF(D93="","-",+C119+1)</f>
        <v>2036</v>
      </c>
      <c r="D120" s="63">
        <f>IF(F119+SUM(E$99:E119)=D$92,F119,D$92-SUM(E$99:E119))</f>
        <v>0</v>
      </c>
      <c r="E120" s="69">
        <f t="shared" si="16"/>
        <v>0</v>
      </c>
      <c r="F120" s="68">
        <f t="shared" si="17"/>
        <v>0</v>
      </c>
      <c r="G120" s="68">
        <f t="shared" si="18"/>
        <v>0</v>
      </c>
      <c r="H120" s="130">
        <f t="shared" si="12"/>
        <v>0</v>
      </c>
      <c r="I120" s="139">
        <f t="shared" si="13"/>
        <v>0</v>
      </c>
      <c r="J120" s="67">
        <f t="shared" si="14"/>
        <v>0</v>
      </c>
      <c r="K120" s="67"/>
      <c r="L120" s="132"/>
      <c r="M120" s="67">
        <f t="shared" si="9"/>
        <v>0</v>
      </c>
      <c r="N120" s="132"/>
      <c r="O120" s="67">
        <f t="shared" si="10"/>
        <v>0</v>
      </c>
      <c r="P120" s="67">
        <f t="shared" si="11"/>
        <v>0</v>
      </c>
    </row>
    <row r="121" spans="2:16">
      <c r="B121" s="9" t="str">
        <f t="shared" si="15"/>
        <v/>
      </c>
      <c r="C121" s="62">
        <f>IF(D93="","-",+C120+1)</f>
        <v>2037</v>
      </c>
      <c r="D121" s="63">
        <f>IF(F120+SUM(E$99:E120)=D$92,F120,D$92-SUM(E$99:E120))</f>
        <v>0</v>
      </c>
      <c r="E121" s="69">
        <f t="shared" si="16"/>
        <v>0</v>
      </c>
      <c r="F121" s="68">
        <f t="shared" si="17"/>
        <v>0</v>
      </c>
      <c r="G121" s="68">
        <f t="shared" si="18"/>
        <v>0</v>
      </c>
      <c r="H121" s="130">
        <f t="shared" si="12"/>
        <v>0</v>
      </c>
      <c r="I121" s="139">
        <f t="shared" si="13"/>
        <v>0</v>
      </c>
      <c r="J121" s="67">
        <f t="shared" si="14"/>
        <v>0</v>
      </c>
      <c r="K121" s="67"/>
      <c r="L121" s="132"/>
      <c r="M121" s="67">
        <f t="shared" si="9"/>
        <v>0</v>
      </c>
      <c r="N121" s="132"/>
      <c r="O121" s="67">
        <f t="shared" si="10"/>
        <v>0</v>
      </c>
      <c r="P121" s="67">
        <f t="shared" si="11"/>
        <v>0</v>
      </c>
    </row>
    <row r="122" spans="2:16">
      <c r="B122" s="9" t="str">
        <f t="shared" si="15"/>
        <v/>
      </c>
      <c r="C122" s="62">
        <f>IF(D93="","-",+C121+1)</f>
        <v>2038</v>
      </c>
      <c r="D122" s="63">
        <f>IF(F121+SUM(E$99:E121)=D$92,F121,D$92-SUM(E$99:E121))</f>
        <v>0</v>
      </c>
      <c r="E122" s="69">
        <f t="shared" si="16"/>
        <v>0</v>
      </c>
      <c r="F122" s="68">
        <f t="shared" si="17"/>
        <v>0</v>
      </c>
      <c r="G122" s="68">
        <f t="shared" si="18"/>
        <v>0</v>
      </c>
      <c r="H122" s="130">
        <f t="shared" si="12"/>
        <v>0</v>
      </c>
      <c r="I122" s="139">
        <f t="shared" si="13"/>
        <v>0</v>
      </c>
      <c r="J122" s="67">
        <f t="shared" si="14"/>
        <v>0</v>
      </c>
      <c r="K122" s="67"/>
      <c r="L122" s="132"/>
      <c r="M122" s="67">
        <f t="shared" si="9"/>
        <v>0</v>
      </c>
      <c r="N122" s="132"/>
      <c r="O122" s="67">
        <f t="shared" si="10"/>
        <v>0</v>
      </c>
      <c r="P122" s="67">
        <f t="shared" si="11"/>
        <v>0</v>
      </c>
    </row>
    <row r="123" spans="2:16">
      <c r="B123" s="9" t="str">
        <f t="shared" si="15"/>
        <v/>
      </c>
      <c r="C123" s="62">
        <f>IF(D93="","-",+C122+1)</f>
        <v>2039</v>
      </c>
      <c r="D123" s="63">
        <f>IF(F122+SUM(E$99:E122)=D$92,F122,D$92-SUM(E$99:E122))</f>
        <v>0</v>
      </c>
      <c r="E123" s="69">
        <f t="shared" si="16"/>
        <v>0</v>
      </c>
      <c r="F123" s="68">
        <f t="shared" si="17"/>
        <v>0</v>
      </c>
      <c r="G123" s="68">
        <f t="shared" si="18"/>
        <v>0</v>
      </c>
      <c r="H123" s="130">
        <f t="shared" si="12"/>
        <v>0</v>
      </c>
      <c r="I123" s="139">
        <f t="shared" si="13"/>
        <v>0</v>
      </c>
      <c r="J123" s="67">
        <f t="shared" si="14"/>
        <v>0</v>
      </c>
      <c r="K123" s="67"/>
      <c r="L123" s="132"/>
      <c r="M123" s="67">
        <f t="shared" si="9"/>
        <v>0</v>
      </c>
      <c r="N123" s="132"/>
      <c r="O123" s="67">
        <f t="shared" si="10"/>
        <v>0</v>
      </c>
      <c r="P123" s="67">
        <f t="shared" si="11"/>
        <v>0</v>
      </c>
    </row>
    <row r="124" spans="2:16">
      <c r="B124" s="9" t="str">
        <f t="shared" si="15"/>
        <v/>
      </c>
      <c r="C124" s="62">
        <f>IF(D93="","-",+C123+1)</f>
        <v>2040</v>
      </c>
      <c r="D124" s="63">
        <f>IF(F123+SUM(E$99:E123)=D$92,F123,D$92-SUM(E$99:E123))</f>
        <v>0</v>
      </c>
      <c r="E124" s="69">
        <f t="shared" si="16"/>
        <v>0</v>
      </c>
      <c r="F124" s="68">
        <f t="shared" si="17"/>
        <v>0</v>
      </c>
      <c r="G124" s="68">
        <f t="shared" si="18"/>
        <v>0</v>
      </c>
      <c r="H124" s="130">
        <f t="shared" si="12"/>
        <v>0</v>
      </c>
      <c r="I124" s="139">
        <f t="shared" si="13"/>
        <v>0</v>
      </c>
      <c r="J124" s="67">
        <f t="shared" si="14"/>
        <v>0</v>
      </c>
      <c r="K124" s="67"/>
      <c r="L124" s="132"/>
      <c r="M124" s="67">
        <f t="shared" si="9"/>
        <v>0</v>
      </c>
      <c r="N124" s="132"/>
      <c r="O124" s="67">
        <f t="shared" si="10"/>
        <v>0</v>
      </c>
      <c r="P124" s="67">
        <f t="shared" si="11"/>
        <v>0</v>
      </c>
    </row>
    <row r="125" spans="2:16">
      <c r="B125" s="9" t="str">
        <f t="shared" si="15"/>
        <v/>
      </c>
      <c r="C125" s="62">
        <f>IF(D93="","-",+C124+1)</f>
        <v>2041</v>
      </c>
      <c r="D125" s="63">
        <f>IF(F124+SUM(E$99:E124)=D$92,F124,D$92-SUM(E$99:E124))</f>
        <v>0</v>
      </c>
      <c r="E125" s="69">
        <f t="shared" si="16"/>
        <v>0</v>
      </c>
      <c r="F125" s="68">
        <f t="shared" si="17"/>
        <v>0</v>
      </c>
      <c r="G125" s="68">
        <f t="shared" si="18"/>
        <v>0</v>
      </c>
      <c r="H125" s="130">
        <f t="shared" si="12"/>
        <v>0</v>
      </c>
      <c r="I125" s="139">
        <f t="shared" si="13"/>
        <v>0</v>
      </c>
      <c r="J125" s="67">
        <f t="shared" si="14"/>
        <v>0</v>
      </c>
      <c r="K125" s="67"/>
      <c r="L125" s="132"/>
      <c r="M125" s="67">
        <f t="shared" si="9"/>
        <v>0</v>
      </c>
      <c r="N125" s="132"/>
      <c r="O125" s="67">
        <f t="shared" si="10"/>
        <v>0</v>
      </c>
      <c r="P125" s="67">
        <f t="shared" si="11"/>
        <v>0</v>
      </c>
    </row>
    <row r="126" spans="2:16">
      <c r="B126" s="9" t="str">
        <f t="shared" si="15"/>
        <v/>
      </c>
      <c r="C126" s="62">
        <f>IF(D93="","-",+C125+1)</f>
        <v>2042</v>
      </c>
      <c r="D126" s="63">
        <f>IF(F125+SUM(E$99:E125)=D$92,F125,D$92-SUM(E$99:E125))</f>
        <v>0</v>
      </c>
      <c r="E126" s="69">
        <f t="shared" si="16"/>
        <v>0</v>
      </c>
      <c r="F126" s="68">
        <f t="shared" si="17"/>
        <v>0</v>
      </c>
      <c r="G126" s="68">
        <f t="shared" si="18"/>
        <v>0</v>
      </c>
      <c r="H126" s="130">
        <f t="shared" si="12"/>
        <v>0</v>
      </c>
      <c r="I126" s="139">
        <f t="shared" si="13"/>
        <v>0</v>
      </c>
      <c r="J126" s="67">
        <f t="shared" si="14"/>
        <v>0</v>
      </c>
      <c r="K126" s="67"/>
      <c r="L126" s="132"/>
      <c r="M126" s="67">
        <f t="shared" si="9"/>
        <v>0</v>
      </c>
      <c r="N126" s="132"/>
      <c r="O126" s="67">
        <f t="shared" si="10"/>
        <v>0</v>
      </c>
      <c r="P126" s="67">
        <f t="shared" si="11"/>
        <v>0</v>
      </c>
    </row>
    <row r="127" spans="2:16">
      <c r="B127" s="9" t="str">
        <f t="shared" si="15"/>
        <v/>
      </c>
      <c r="C127" s="62">
        <f>IF(D93="","-",+C126+1)</f>
        <v>2043</v>
      </c>
      <c r="D127" s="63">
        <f>IF(F126+SUM(E$99:E126)=D$92,F126,D$92-SUM(E$99:E126))</f>
        <v>0</v>
      </c>
      <c r="E127" s="69">
        <f t="shared" si="16"/>
        <v>0</v>
      </c>
      <c r="F127" s="68">
        <f t="shared" si="17"/>
        <v>0</v>
      </c>
      <c r="G127" s="68">
        <f t="shared" si="18"/>
        <v>0</v>
      </c>
      <c r="H127" s="130">
        <f t="shared" si="12"/>
        <v>0</v>
      </c>
      <c r="I127" s="139">
        <f t="shared" si="13"/>
        <v>0</v>
      </c>
      <c r="J127" s="67">
        <f t="shared" si="14"/>
        <v>0</v>
      </c>
      <c r="K127" s="67"/>
      <c r="L127" s="132"/>
      <c r="M127" s="67">
        <f t="shared" si="9"/>
        <v>0</v>
      </c>
      <c r="N127" s="132"/>
      <c r="O127" s="67">
        <f t="shared" si="10"/>
        <v>0</v>
      </c>
      <c r="P127" s="67">
        <f t="shared" si="11"/>
        <v>0</v>
      </c>
    </row>
    <row r="128" spans="2:16">
      <c r="B128" s="9" t="str">
        <f t="shared" si="15"/>
        <v/>
      </c>
      <c r="C128" s="62">
        <f>IF(D93="","-",+C127+1)</f>
        <v>2044</v>
      </c>
      <c r="D128" s="63">
        <f>IF(F127+SUM(E$99:E127)=D$92,F127,D$92-SUM(E$99:E127))</f>
        <v>0</v>
      </c>
      <c r="E128" s="69">
        <f t="shared" si="16"/>
        <v>0</v>
      </c>
      <c r="F128" s="68">
        <f t="shared" si="17"/>
        <v>0</v>
      </c>
      <c r="G128" s="68">
        <f t="shared" si="18"/>
        <v>0</v>
      </c>
      <c r="H128" s="130">
        <f t="shared" si="12"/>
        <v>0</v>
      </c>
      <c r="I128" s="139">
        <f t="shared" si="13"/>
        <v>0</v>
      </c>
      <c r="J128" s="67">
        <f t="shared" si="14"/>
        <v>0</v>
      </c>
      <c r="K128" s="67"/>
      <c r="L128" s="132"/>
      <c r="M128" s="67">
        <f t="shared" si="9"/>
        <v>0</v>
      </c>
      <c r="N128" s="132"/>
      <c r="O128" s="67">
        <f t="shared" si="10"/>
        <v>0</v>
      </c>
      <c r="P128" s="67">
        <f t="shared" si="11"/>
        <v>0</v>
      </c>
    </row>
    <row r="129" spans="2:16">
      <c r="B129" s="9" t="str">
        <f t="shared" si="15"/>
        <v/>
      </c>
      <c r="C129" s="62">
        <f>IF(D93="","-",+C128+1)</f>
        <v>2045</v>
      </c>
      <c r="D129" s="63">
        <f>IF(F128+SUM(E$99:E128)=D$92,F128,D$92-SUM(E$99:E128))</f>
        <v>0</v>
      </c>
      <c r="E129" s="69">
        <f t="shared" si="16"/>
        <v>0</v>
      </c>
      <c r="F129" s="68">
        <f t="shared" si="17"/>
        <v>0</v>
      </c>
      <c r="G129" s="68">
        <f t="shared" si="18"/>
        <v>0</v>
      </c>
      <c r="H129" s="130">
        <f t="shared" si="12"/>
        <v>0</v>
      </c>
      <c r="I129" s="139">
        <f t="shared" si="13"/>
        <v>0</v>
      </c>
      <c r="J129" s="67">
        <f t="shared" si="14"/>
        <v>0</v>
      </c>
      <c r="K129" s="67"/>
      <c r="L129" s="132"/>
      <c r="M129" s="67">
        <f t="shared" si="9"/>
        <v>0</v>
      </c>
      <c r="N129" s="132"/>
      <c r="O129" s="67">
        <f t="shared" si="10"/>
        <v>0</v>
      </c>
      <c r="P129" s="67">
        <f t="shared" si="11"/>
        <v>0</v>
      </c>
    </row>
    <row r="130" spans="2:16">
      <c r="B130" s="9" t="str">
        <f t="shared" si="15"/>
        <v/>
      </c>
      <c r="C130" s="62">
        <f>IF(D93="","-",+C129+1)</f>
        <v>2046</v>
      </c>
      <c r="D130" s="63">
        <f>IF(F129+SUM(E$99:E129)=D$92,F129,D$92-SUM(E$99:E129))</f>
        <v>0</v>
      </c>
      <c r="E130" s="69">
        <f t="shared" si="16"/>
        <v>0</v>
      </c>
      <c r="F130" s="68">
        <f t="shared" si="17"/>
        <v>0</v>
      </c>
      <c r="G130" s="68">
        <f t="shared" si="18"/>
        <v>0</v>
      </c>
      <c r="H130" s="130">
        <f t="shared" si="12"/>
        <v>0</v>
      </c>
      <c r="I130" s="139">
        <f t="shared" si="13"/>
        <v>0</v>
      </c>
      <c r="J130" s="67">
        <f t="shared" si="14"/>
        <v>0</v>
      </c>
      <c r="K130" s="67"/>
      <c r="L130" s="132"/>
      <c r="M130" s="67">
        <f t="shared" si="9"/>
        <v>0</v>
      </c>
      <c r="N130" s="132"/>
      <c r="O130" s="67">
        <f t="shared" si="10"/>
        <v>0</v>
      </c>
      <c r="P130" s="67">
        <f t="shared" si="11"/>
        <v>0</v>
      </c>
    </row>
    <row r="131" spans="2:16">
      <c r="B131" s="9" t="str">
        <f t="shared" si="15"/>
        <v/>
      </c>
      <c r="C131" s="62">
        <f>IF(D93="","-",+C130+1)</f>
        <v>2047</v>
      </c>
      <c r="D131" s="63">
        <f>IF(F130+SUM(E$99:E130)=D$92,F130,D$92-SUM(E$99:E130))</f>
        <v>0</v>
      </c>
      <c r="E131" s="69">
        <f t="shared" si="16"/>
        <v>0</v>
      </c>
      <c r="F131" s="68">
        <f t="shared" si="17"/>
        <v>0</v>
      </c>
      <c r="G131" s="68">
        <f t="shared" si="18"/>
        <v>0</v>
      </c>
      <c r="H131" s="130">
        <f t="shared" si="12"/>
        <v>0</v>
      </c>
      <c r="I131" s="139">
        <f t="shared" si="13"/>
        <v>0</v>
      </c>
      <c r="J131" s="67">
        <f t="shared" ref="J131:J154" si="19">+I541-H541</f>
        <v>0</v>
      </c>
      <c r="K131" s="67"/>
      <c r="L131" s="132"/>
      <c r="M131" s="67">
        <f t="shared" ref="M131:M154" si="20">IF(L541&lt;&gt;0,+H541-L541,0)</f>
        <v>0</v>
      </c>
      <c r="N131" s="132"/>
      <c r="O131" s="67">
        <f t="shared" ref="O131:O154" si="21">IF(N541&lt;&gt;0,+I541-N541,0)</f>
        <v>0</v>
      </c>
      <c r="P131" s="67">
        <f t="shared" ref="P131:P154" si="22">+O541-M541</f>
        <v>0</v>
      </c>
    </row>
    <row r="132" spans="2:16">
      <c r="B132" s="9" t="str">
        <f t="shared" si="15"/>
        <v/>
      </c>
      <c r="C132" s="62">
        <f>IF(D93="","-",+C131+1)</f>
        <v>2048</v>
      </c>
      <c r="D132" s="63">
        <f>IF(F131+SUM(E$99:E131)=D$92,F131,D$92-SUM(E$99:E131))</f>
        <v>0</v>
      </c>
      <c r="E132" s="69">
        <f t="shared" si="16"/>
        <v>0</v>
      </c>
      <c r="F132" s="68">
        <f t="shared" si="17"/>
        <v>0</v>
      </c>
      <c r="G132" s="68">
        <f t="shared" si="18"/>
        <v>0</v>
      </c>
      <c r="H132" s="130">
        <f t="shared" si="12"/>
        <v>0</v>
      </c>
      <c r="I132" s="139">
        <f t="shared" si="13"/>
        <v>0</v>
      </c>
      <c r="J132" s="67">
        <f t="shared" si="19"/>
        <v>0</v>
      </c>
      <c r="K132" s="67"/>
      <c r="L132" s="132"/>
      <c r="M132" s="67">
        <f t="shared" si="20"/>
        <v>0</v>
      </c>
      <c r="N132" s="132"/>
      <c r="O132" s="67">
        <f t="shared" si="21"/>
        <v>0</v>
      </c>
      <c r="P132" s="67">
        <f t="shared" si="22"/>
        <v>0</v>
      </c>
    </row>
    <row r="133" spans="2:16">
      <c r="B133" s="9" t="str">
        <f t="shared" si="15"/>
        <v/>
      </c>
      <c r="C133" s="62">
        <f>IF(D93="","-",+C132+1)</f>
        <v>2049</v>
      </c>
      <c r="D133" s="63">
        <f>IF(F132+SUM(E$99:E132)=D$92,F132,D$92-SUM(E$99:E132))</f>
        <v>0</v>
      </c>
      <c r="E133" s="69">
        <f t="shared" si="16"/>
        <v>0</v>
      </c>
      <c r="F133" s="68">
        <f t="shared" si="17"/>
        <v>0</v>
      </c>
      <c r="G133" s="68">
        <f t="shared" si="18"/>
        <v>0</v>
      </c>
      <c r="H133" s="130">
        <f t="shared" si="12"/>
        <v>0</v>
      </c>
      <c r="I133" s="139">
        <f t="shared" si="13"/>
        <v>0</v>
      </c>
      <c r="J133" s="67">
        <f t="shared" si="19"/>
        <v>0</v>
      </c>
      <c r="K133" s="67"/>
      <c r="L133" s="132"/>
      <c r="M133" s="67">
        <f t="shared" si="20"/>
        <v>0</v>
      </c>
      <c r="N133" s="132"/>
      <c r="O133" s="67">
        <f t="shared" si="21"/>
        <v>0</v>
      </c>
      <c r="P133" s="67">
        <f t="shared" si="22"/>
        <v>0</v>
      </c>
    </row>
    <row r="134" spans="2:16">
      <c r="B134" s="9" t="str">
        <f t="shared" si="15"/>
        <v/>
      </c>
      <c r="C134" s="62">
        <f>IF(D93="","-",+C133+1)</f>
        <v>2050</v>
      </c>
      <c r="D134" s="63">
        <f>IF(F133+SUM(E$99:E133)=D$92,F133,D$92-SUM(E$99:E133))</f>
        <v>0</v>
      </c>
      <c r="E134" s="69">
        <f t="shared" si="16"/>
        <v>0</v>
      </c>
      <c r="F134" s="68">
        <f t="shared" si="17"/>
        <v>0</v>
      </c>
      <c r="G134" s="68">
        <f t="shared" si="18"/>
        <v>0</v>
      </c>
      <c r="H134" s="130">
        <f t="shared" si="12"/>
        <v>0</v>
      </c>
      <c r="I134" s="139">
        <f t="shared" si="13"/>
        <v>0</v>
      </c>
      <c r="J134" s="67">
        <f t="shared" si="19"/>
        <v>0</v>
      </c>
      <c r="K134" s="67"/>
      <c r="L134" s="132"/>
      <c r="M134" s="67">
        <f t="shared" si="20"/>
        <v>0</v>
      </c>
      <c r="N134" s="132"/>
      <c r="O134" s="67">
        <f t="shared" si="21"/>
        <v>0</v>
      </c>
      <c r="P134" s="67">
        <f t="shared" si="22"/>
        <v>0</v>
      </c>
    </row>
    <row r="135" spans="2:16">
      <c r="B135" s="9" t="str">
        <f t="shared" si="15"/>
        <v/>
      </c>
      <c r="C135" s="62">
        <f>IF(D93="","-",+C134+1)</f>
        <v>2051</v>
      </c>
      <c r="D135" s="63">
        <f>IF(F134+SUM(E$99:E134)=D$92,F134,D$92-SUM(E$99:E134))</f>
        <v>0</v>
      </c>
      <c r="E135" s="69">
        <f t="shared" si="16"/>
        <v>0</v>
      </c>
      <c r="F135" s="68">
        <f t="shared" si="17"/>
        <v>0</v>
      </c>
      <c r="G135" s="68">
        <f t="shared" si="18"/>
        <v>0</v>
      </c>
      <c r="H135" s="130">
        <f t="shared" si="12"/>
        <v>0</v>
      </c>
      <c r="I135" s="139">
        <f t="shared" si="13"/>
        <v>0</v>
      </c>
      <c r="J135" s="67">
        <f t="shared" si="19"/>
        <v>0</v>
      </c>
      <c r="K135" s="67"/>
      <c r="L135" s="132"/>
      <c r="M135" s="67">
        <f t="shared" si="20"/>
        <v>0</v>
      </c>
      <c r="N135" s="132"/>
      <c r="O135" s="67">
        <f t="shared" si="21"/>
        <v>0</v>
      </c>
      <c r="P135" s="67">
        <f t="shared" si="22"/>
        <v>0</v>
      </c>
    </row>
    <row r="136" spans="2:16">
      <c r="B136" s="9" t="str">
        <f t="shared" si="15"/>
        <v/>
      </c>
      <c r="C136" s="62">
        <f>IF(D93="","-",+C135+1)</f>
        <v>2052</v>
      </c>
      <c r="D136" s="63">
        <f>IF(F135+SUM(E$99:E135)=D$92,F135,D$92-SUM(E$99:E135))</f>
        <v>0</v>
      </c>
      <c r="E136" s="69">
        <f t="shared" si="16"/>
        <v>0</v>
      </c>
      <c r="F136" s="68">
        <f t="shared" si="17"/>
        <v>0</v>
      </c>
      <c r="G136" s="68">
        <f t="shared" si="18"/>
        <v>0</v>
      </c>
      <c r="H136" s="130">
        <f t="shared" si="12"/>
        <v>0</v>
      </c>
      <c r="I136" s="139">
        <f t="shared" si="13"/>
        <v>0</v>
      </c>
      <c r="J136" s="67">
        <f t="shared" si="19"/>
        <v>0</v>
      </c>
      <c r="K136" s="67"/>
      <c r="L136" s="132"/>
      <c r="M136" s="67">
        <f t="shared" si="20"/>
        <v>0</v>
      </c>
      <c r="N136" s="132"/>
      <c r="O136" s="67">
        <f t="shared" si="21"/>
        <v>0</v>
      </c>
      <c r="P136" s="67">
        <f t="shared" si="22"/>
        <v>0</v>
      </c>
    </row>
    <row r="137" spans="2:16">
      <c r="B137" s="9" t="str">
        <f t="shared" si="15"/>
        <v/>
      </c>
      <c r="C137" s="62">
        <f>IF(D93="","-",+C136+1)</f>
        <v>2053</v>
      </c>
      <c r="D137" s="63">
        <f>IF(F136+SUM(E$99:E136)=D$92,F136,D$92-SUM(E$99:E136))</f>
        <v>0</v>
      </c>
      <c r="E137" s="69">
        <f t="shared" si="16"/>
        <v>0</v>
      </c>
      <c r="F137" s="68">
        <f t="shared" si="17"/>
        <v>0</v>
      </c>
      <c r="G137" s="68">
        <f t="shared" si="18"/>
        <v>0</v>
      </c>
      <c r="H137" s="130">
        <f t="shared" si="12"/>
        <v>0</v>
      </c>
      <c r="I137" s="139">
        <f t="shared" si="13"/>
        <v>0</v>
      </c>
      <c r="J137" s="67">
        <f t="shared" si="19"/>
        <v>0</v>
      </c>
      <c r="K137" s="67"/>
      <c r="L137" s="132"/>
      <c r="M137" s="67">
        <f t="shared" si="20"/>
        <v>0</v>
      </c>
      <c r="N137" s="132"/>
      <c r="O137" s="67">
        <f t="shared" si="21"/>
        <v>0</v>
      </c>
      <c r="P137" s="67">
        <f t="shared" si="22"/>
        <v>0</v>
      </c>
    </row>
    <row r="138" spans="2:16">
      <c r="B138" s="9" t="str">
        <f t="shared" si="15"/>
        <v/>
      </c>
      <c r="C138" s="62">
        <f>IF(D93="","-",+C137+1)</f>
        <v>2054</v>
      </c>
      <c r="D138" s="63">
        <f>IF(F137+SUM(E$99:E137)=D$92,F137,D$92-SUM(E$99:E137))</f>
        <v>0</v>
      </c>
      <c r="E138" s="69">
        <f t="shared" si="16"/>
        <v>0</v>
      </c>
      <c r="F138" s="68">
        <f t="shared" si="17"/>
        <v>0</v>
      </c>
      <c r="G138" s="68">
        <f t="shared" si="18"/>
        <v>0</v>
      </c>
      <c r="H138" s="130">
        <f t="shared" si="12"/>
        <v>0</v>
      </c>
      <c r="I138" s="139">
        <f t="shared" si="13"/>
        <v>0</v>
      </c>
      <c r="J138" s="67">
        <f t="shared" si="19"/>
        <v>0</v>
      </c>
      <c r="K138" s="67"/>
      <c r="L138" s="132"/>
      <c r="M138" s="67">
        <f t="shared" si="20"/>
        <v>0</v>
      </c>
      <c r="N138" s="132"/>
      <c r="O138" s="67">
        <f t="shared" si="21"/>
        <v>0</v>
      </c>
      <c r="P138" s="67">
        <f t="shared" si="22"/>
        <v>0</v>
      </c>
    </row>
    <row r="139" spans="2:16">
      <c r="B139" s="9" t="str">
        <f t="shared" si="15"/>
        <v/>
      </c>
      <c r="C139" s="62">
        <f>IF(D93="","-",+C138+1)</f>
        <v>2055</v>
      </c>
      <c r="D139" s="63">
        <f>IF(F138+SUM(E$99:E138)=D$92,F138,D$92-SUM(E$99:E138))</f>
        <v>0</v>
      </c>
      <c r="E139" s="69">
        <f t="shared" si="16"/>
        <v>0</v>
      </c>
      <c r="F139" s="68">
        <f t="shared" si="17"/>
        <v>0</v>
      </c>
      <c r="G139" s="68">
        <f t="shared" si="18"/>
        <v>0</v>
      </c>
      <c r="H139" s="130">
        <f t="shared" si="12"/>
        <v>0</v>
      </c>
      <c r="I139" s="139">
        <f t="shared" si="13"/>
        <v>0</v>
      </c>
      <c r="J139" s="67">
        <f t="shared" si="19"/>
        <v>0</v>
      </c>
      <c r="K139" s="67"/>
      <c r="L139" s="132"/>
      <c r="M139" s="67">
        <f t="shared" si="20"/>
        <v>0</v>
      </c>
      <c r="N139" s="132"/>
      <c r="O139" s="67">
        <f t="shared" si="21"/>
        <v>0</v>
      </c>
      <c r="P139" s="67">
        <f t="shared" si="22"/>
        <v>0</v>
      </c>
    </row>
    <row r="140" spans="2:16">
      <c r="B140" s="9" t="str">
        <f t="shared" si="15"/>
        <v/>
      </c>
      <c r="C140" s="62">
        <f>IF(D93="","-",+C139+1)</f>
        <v>2056</v>
      </c>
      <c r="D140" s="63">
        <f>IF(F139+SUM(E$99:E139)=D$92,F139,D$92-SUM(E$99:E139))</f>
        <v>0</v>
      </c>
      <c r="E140" s="69">
        <f t="shared" si="16"/>
        <v>0</v>
      </c>
      <c r="F140" s="68">
        <f t="shared" si="17"/>
        <v>0</v>
      </c>
      <c r="G140" s="68">
        <f t="shared" si="18"/>
        <v>0</v>
      </c>
      <c r="H140" s="130">
        <f t="shared" si="12"/>
        <v>0</v>
      </c>
      <c r="I140" s="139">
        <f t="shared" si="13"/>
        <v>0</v>
      </c>
      <c r="J140" s="67">
        <f t="shared" si="19"/>
        <v>0</v>
      </c>
      <c r="K140" s="67"/>
      <c r="L140" s="132"/>
      <c r="M140" s="67">
        <f t="shared" si="20"/>
        <v>0</v>
      </c>
      <c r="N140" s="132"/>
      <c r="O140" s="67">
        <f t="shared" si="21"/>
        <v>0</v>
      </c>
      <c r="P140" s="67">
        <f t="shared" si="22"/>
        <v>0</v>
      </c>
    </row>
    <row r="141" spans="2:16">
      <c r="B141" s="9" t="str">
        <f t="shared" si="15"/>
        <v/>
      </c>
      <c r="C141" s="62">
        <f>IF(D93="","-",+C140+1)</f>
        <v>2057</v>
      </c>
      <c r="D141" s="63">
        <f>IF(F140+SUM(E$99:E140)=D$92,F140,D$92-SUM(E$99:E140))</f>
        <v>0</v>
      </c>
      <c r="E141" s="69">
        <f t="shared" si="16"/>
        <v>0</v>
      </c>
      <c r="F141" s="68">
        <f t="shared" si="17"/>
        <v>0</v>
      </c>
      <c r="G141" s="68">
        <f t="shared" si="18"/>
        <v>0</v>
      </c>
      <c r="H141" s="130">
        <f t="shared" si="12"/>
        <v>0</v>
      </c>
      <c r="I141" s="139">
        <f t="shared" si="13"/>
        <v>0</v>
      </c>
      <c r="J141" s="67">
        <f t="shared" si="19"/>
        <v>0</v>
      </c>
      <c r="K141" s="67"/>
      <c r="L141" s="132"/>
      <c r="M141" s="67">
        <f t="shared" si="20"/>
        <v>0</v>
      </c>
      <c r="N141" s="132"/>
      <c r="O141" s="67">
        <f t="shared" si="21"/>
        <v>0</v>
      </c>
      <c r="P141" s="67">
        <f t="shared" si="22"/>
        <v>0</v>
      </c>
    </row>
    <row r="142" spans="2:16">
      <c r="B142" s="9" t="str">
        <f t="shared" si="15"/>
        <v/>
      </c>
      <c r="C142" s="62">
        <f>IF(D93="","-",+C141+1)</f>
        <v>2058</v>
      </c>
      <c r="D142" s="63">
        <f>IF(F141+SUM(E$99:E141)=D$92,F141,D$92-SUM(E$99:E141))</f>
        <v>0</v>
      </c>
      <c r="E142" s="69">
        <f t="shared" si="16"/>
        <v>0</v>
      </c>
      <c r="F142" s="68">
        <f t="shared" si="17"/>
        <v>0</v>
      </c>
      <c r="G142" s="68">
        <f t="shared" si="18"/>
        <v>0</v>
      </c>
      <c r="H142" s="130">
        <f t="shared" si="12"/>
        <v>0</v>
      </c>
      <c r="I142" s="139">
        <f t="shared" si="13"/>
        <v>0</v>
      </c>
      <c r="J142" s="67">
        <f t="shared" si="19"/>
        <v>0</v>
      </c>
      <c r="K142" s="67"/>
      <c r="L142" s="132"/>
      <c r="M142" s="67">
        <f t="shared" si="20"/>
        <v>0</v>
      </c>
      <c r="N142" s="132"/>
      <c r="O142" s="67">
        <f t="shared" si="21"/>
        <v>0</v>
      </c>
      <c r="P142" s="67">
        <f t="shared" si="22"/>
        <v>0</v>
      </c>
    </row>
    <row r="143" spans="2:16">
      <c r="B143" s="9" t="str">
        <f t="shared" si="15"/>
        <v/>
      </c>
      <c r="C143" s="62">
        <f>IF(D93="","-",+C142+1)</f>
        <v>2059</v>
      </c>
      <c r="D143" s="63">
        <f>IF(F142+SUM(E$99:E142)=D$92,F142,D$92-SUM(E$99:E142))</f>
        <v>0</v>
      </c>
      <c r="E143" s="69">
        <f t="shared" si="16"/>
        <v>0</v>
      </c>
      <c r="F143" s="68">
        <f t="shared" si="17"/>
        <v>0</v>
      </c>
      <c r="G143" s="68">
        <f t="shared" si="18"/>
        <v>0</v>
      </c>
      <c r="H143" s="130">
        <f t="shared" si="12"/>
        <v>0</v>
      </c>
      <c r="I143" s="139">
        <f t="shared" si="13"/>
        <v>0</v>
      </c>
      <c r="J143" s="67">
        <f t="shared" si="19"/>
        <v>0</v>
      </c>
      <c r="K143" s="67"/>
      <c r="L143" s="132"/>
      <c r="M143" s="67">
        <f t="shared" si="20"/>
        <v>0</v>
      </c>
      <c r="N143" s="132"/>
      <c r="O143" s="67">
        <f t="shared" si="21"/>
        <v>0</v>
      </c>
      <c r="P143" s="67">
        <f t="shared" si="22"/>
        <v>0</v>
      </c>
    </row>
    <row r="144" spans="2:16">
      <c r="B144" s="9" t="str">
        <f t="shared" si="15"/>
        <v/>
      </c>
      <c r="C144" s="62">
        <f>IF(D93="","-",+C143+1)</f>
        <v>2060</v>
      </c>
      <c r="D144" s="63">
        <f>IF(F143+SUM(E$99:E143)=D$92,F143,D$92-SUM(E$99:E143))</f>
        <v>0</v>
      </c>
      <c r="E144" s="69">
        <f t="shared" si="16"/>
        <v>0</v>
      </c>
      <c r="F144" s="68">
        <f t="shared" si="17"/>
        <v>0</v>
      </c>
      <c r="G144" s="68">
        <f t="shared" si="18"/>
        <v>0</v>
      </c>
      <c r="H144" s="130">
        <f t="shared" si="12"/>
        <v>0</v>
      </c>
      <c r="I144" s="139">
        <f t="shared" si="13"/>
        <v>0</v>
      </c>
      <c r="J144" s="67">
        <f t="shared" si="19"/>
        <v>0</v>
      </c>
      <c r="K144" s="67"/>
      <c r="L144" s="132"/>
      <c r="M144" s="67">
        <f t="shared" si="20"/>
        <v>0</v>
      </c>
      <c r="N144" s="132"/>
      <c r="O144" s="67">
        <f t="shared" si="21"/>
        <v>0</v>
      </c>
      <c r="P144" s="67">
        <f t="shared" si="22"/>
        <v>0</v>
      </c>
    </row>
    <row r="145" spans="2:16">
      <c r="B145" s="9" t="str">
        <f t="shared" si="15"/>
        <v/>
      </c>
      <c r="C145" s="62">
        <f>IF(D93="","-",+C144+1)</f>
        <v>2061</v>
      </c>
      <c r="D145" s="63">
        <f>IF(F144+SUM(E$99:E144)=D$92,F144,D$92-SUM(E$99:E144))</f>
        <v>0</v>
      </c>
      <c r="E145" s="69">
        <f t="shared" si="16"/>
        <v>0</v>
      </c>
      <c r="F145" s="68">
        <f t="shared" si="17"/>
        <v>0</v>
      </c>
      <c r="G145" s="68">
        <f t="shared" si="18"/>
        <v>0</v>
      </c>
      <c r="H145" s="130">
        <f t="shared" si="12"/>
        <v>0</v>
      </c>
      <c r="I145" s="139">
        <f t="shared" si="13"/>
        <v>0</v>
      </c>
      <c r="J145" s="67">
        <f t="shared" si="19"/>
        <v>0</v>
      </c>
      <c r="K145" s="67"/>
      <c r="L145" s="132"/>
      <c r="M145" s="67">
        <f t="shared" si="20"/>
        <v>0</v>
      </c>
      <c r="N145" s="132"/>
      <c r="O145" s="67">
        <f t="shared" si="21"/>
        <v>0</v>
      </c>
      <c r="P145" s="67">
        <f t="shared" si="22"/>
        <v>0</v>
      </c>
    </row>
    <row r="146" spans="2:16">
      <c r="B146" s="9" t="str">
        <f t="shared" si="15"/>
        <v/>
      </c>
      <c r="C146" s="62">
        <f>IF(D93="","-",+C145+1)</f>
        <v>2062</v>
      </c>
      <c r="D146" s="63">
        <f>IF(F145+SUM(E$99:E145)=D$92,F145,D$92-SUM(E$99:E145))</f>
        <v>0</v>
      </c>
      <c r="E146" s="69">
        <f t="shared" si="16"/>
        <v>0</v>
      </c>
      <c r="F146" s="68">
        <f t="shared" si="17"/>
        <v>0</v>
      </c>
      <c r="G146" s="68">
        <f t="shared" si="18"/>
        <v>0</v>
      </c>
      <c r="H146" s="130">
        <f t="shared" si="12"/>
        <v>0</v>
      </c>
      <c r="I146" s="139">
        <f t="shared" si="13"/>
        <v>0</v>
      </c>
      <c r="J146" s="67">
        <f t="shared" si="19"/>
        <v>0</v>
      </c>
      <c r="K146" s="67"/>
      <c r="L146" s="132"/>
      <c r="M146" s="67">
        <f t="shared" si="20"/>
        <v>0</v>
      </c>
      <c r="N146" s="132"/>
      <c r="O146" s="67">
        <f t="shared" si="21"/>
        <v>0</v>
      </c>
      <c r="P146" s="67">
        <f t="shared" si="22"/>
        <v>0</v>
      </c>
    </row>
    <row r="147" spans="2:16">
      <c r="B147" s="9" t="str">
        <f t="shared" si="15"/>
        <v/>
      </c>
      <c r="C147" s="62">
        <f>IF(D93="","-",+C146+1)</f>
        <v>2063</v>
      </c>
      <c r="D147" s="63">
        <f>IF(F146+SUM(E$99:E146)=D$92,F146,D$92-SUM(E$99:E146))</f>
        <v>0</v>
      </c>
      <c r="E147" s="69">
        <f t="shared" si="16"/>
        <v>0</v>
      </c>
      <c r="F147" s="68">
        <f t="shared" si="17"/>
        <v>0</v>
      </c>
      <c r="G147" s="68">
        <f t="shared" si="18"/>
        <v>0</v>
      </c>
      <c r="H147" s="130">
        <f t="shared" si="12"/>
        <v>0</v>
      </c>
      <c r="I147" s="139">
        <f t="shared" si="13"/>
        <v>0</v>
      </c>
      <c r="J147" s="67">
        <f t="shared" si="19"/>
        <v>0</v>
      </c>
      <c r="K147" s="67"/>
      <c r="L147" s="132"/>
      <c r="M147" s="67">
        <f t="shared" si="20"/>
        <v>0</v>
      </c>
      <c r="N147" s="132"/>
      <c r="O147" s="67">
        <f t="shared" si="21"/>
        <v>0</v>
      </c>
      <c r="P147" s="67">
        <f t="shared" si="22"/>
        <v>0</v>
      </c>
    </row>
    <row r="148" spans="2:16">
      <c r="B148" s="9" t="str">
        <f t="shared" si="15"/>
        <v/>
      </c>
      <c r="C148" s="62">
        <f>IF(D93="","-",+C147+1)</f>
        <v>2064</v>
      </c>
      <c r="D148" s="63">
        <f>IF(F147+SUM(E$99:E147)=D$92,F147,D$92-SUM(E$99:E147))</f>
        <v>0</v>
      </c>
      <c r="E148" s="69">
        <f t="shared" si="16"/>
        <v>0</v>
      </c>
      <c r="F148" s="68">
        <f t="shared" si="17"/>
        <v>0</v>
      </c>
      <c r="G148" s="68">
        <f t="shared" si="18"/>
        <v>0</v>
      </c>
      <c r="H148" s="130">
        <f t="shared" si="12"/>
        <v>0</v>
      </c>
      <c r="I148" s="139">
        <f t="shared" si="13"/>
        <v>0</v>
      </c>
      <c r="J148" s="67">
        <f t="shared" si="19"/>
        <v>0</v>
      </c>
      <c r="K148" s="67"/>
      <c r="L148" s="132"/>
      <c r="M148" s="67">
        <f t="shared" si="20"/>
        <v>0</v>
      </c>
      <c r="N148" s="132"/>
      <c r="O148" s="67">
        <f t="shared" si="21"/>
        <v>0</v>
      </c>
      <c r="P148" s="67">
        <f t="shared" si="22"/>
        <v>0</v>
      </c>
    </row>
    <row r="149" spans="2:16">
      <c r="B149" s="9" t="str">
        <f t="shared" si="15"/>
        <v/>
      </c>
      <c r="C149" s="62">
        <f>IF(D93="","-",+C148+1)</f>
        <v>2065</v>
      </c>
      <c r="D149" s="63">
        <f>IF(F148+SUM(E$99:E148)=D$92,F148,D$92-SUM(E$99:E148))</f>
        <v>0</v>
      </c>
      <c r="E149" s="69">
        <f t="shared" si="16"/>
        <v>0</v>
      </c>
      <c r="F149" s="68">
        <f t="shared" si="17"/>
        <v>0</v>
      </c>
      <c r="G149" s="68">
        <f t="shared" si="18"/>
        <v>0</v>
      </c>
      <c r="H149" s="130">
        <f t="shared" si="12"/>
        <v>0</v>
      </c>
      <c r="I149" s="139">
        <f t="shared" si="13"/>
        <v>0</v>
      </c>
      <c r="J149" s="67">
        <f t="shared" si="19"/>
        <v>0</v>
      </c>
      <c r="K149" s="67"/>
      <c r="L149" s="132"/>
      <c r="M149" s="67">
        <f t="shared" si="20"/>
        <v>0</v>
      </c>
      <c r="N149" s="132"/>
      <c r="O149" s="67">
        <f t="shared" si="21"/>
        <v>0</v>
      </c>
      <c r="P149" s="67">
        <f t="shared" si="22"/>
        <v>0</v>
      </c>
    </row>
    <row r="150" spans="2:16">
      <c r="B150" s="9" t="str">
        <f t="shared" si="15"/>
        <v/>
      </c>
      <c r="C150" s="62">
        <f>IF(D93="","-",+C149+1)</f>
        <v>2066</v>
      </c>
      <c r="D150" s="63">
        <f>IF(F149+SUM(E$99:E149)=D$92,F149,D$92-SUM(E$99:E149))</f>
        <v>0</v>
      </c>
      <c r="E150" s="69">
        <f t="shared" si="16"/>
        <v>0</v>
      </c>
      <c r="F150" s="68">
        <f t="shared" si="17"/>
        <v>0</v>
      </c>
      <c r="G150" s="68">
        <f t="shared" si="18"/>
        <v>0</v>
      </c>
      <c r="H150" s="130">
        <f t="shared" si="12"/>
        <v>0</v>
      </c>
      <c r="I150" s="139">
        <f t="shared" si="13"/>
        <v>0</v>
      </c>
      <c r="J150" s="67">
        <f t="shared" si="19"/>
        <v>0</v>
      </c>
      <c r="K150" s="67"/>
      <c r="L150" s="132"/>
      <c r="M150" s="67">
        <f t="shared" si="20"/>
        <v>0</v>
      </c>
      <c r="N150" s="132"/>
      <c r="O150" s="67">
        <f t="shared" si="21"/>
        <v>0</v>
      </c>
      <c r="P150" s="67">
        <f t="shared" si="22"/>
        <v>0</v>
      </c>
    </row>
    <row r="151" spans="2:16">
      <c r="B151" s="9" t="str">
        <f t="shared" si="15"/>
        <v/>
      </c>
      <c r="C151" s="62">
        <f>IF(D93="","-",+C150+1)</f>
        <v>2067</v>
      </c>
      <c r="D151" s="63">
        <f>IF(F150+SUM(E$99:E150)=D$92,F150,D$92-SUM(E$99:E150))</f>
        <v>0</v>
      </c>
      <c r="E151" s="69">
        <f t="shared" si="16"/>
        <v>0</v>
      </c>
      <c r="F151" s="68">
        <f t="shared" si="17"/>
        <v>0</v>
      </c>
      <c r="G151" s="68">
        <f t="shared" si="18"/>
        <v>0</v>
      </c>
      <c r="H151" s="130">
        <f t="shared" si="12"/>
        <v>0</v>
      </c>
      <c r="I151" s="139">
        <f t="shared" si="13"/>
        <v>0</v>
      </c>
      <c r="J151" s="67">
        <f t="shared" si="19"/>
        <v>0</v>
      </c>
      <c r="K151" s="67"/>
      <c r="L151" s="132"/>
      <c r="M151" s="67">
        <f t="shared" si="20"/>
        <v>0</v>
      </c>
      <c r="N151" s="132"/>
      <c r="O151" s="67">
        <f t="shared" si="21"/>
        <v>0</v>
      </c>
      <c r="P151" s="67">
        <f t="shared" si="22"/>
        <v>0</v>
      </c>
    </row>
    <row r="152" spans="2:16">
      <c r="B152" s="9" t="str">
        <f t="shared" si="15"/>
        <v/>
      </c>
      <c r="C152" s="62">
        <f>IF(D93="","-",+C151+1)</f>
        <v>2068</v>
      </c>
      <c r="D152" s="63">
        <f>IF(F151+SUM(E$99:E151)=D$92,F151,D$92-SUM(E$99:E151))</f>
        <v>0</v>
      </c>
      <c r="E152" s="69">
        <f t="shared" si="16"/>
        <v>0</v>
      </c>
      <c r="F152" s="68">
        <f t="shared" si="17"/>
        <v>0</v>
      </c>
      <c r="G152" s="68">
        <f t="shared" si="18"/>
        <v>0</v>
      </c>
      <c r="H152" s="130">
        <f t="shared" si="12"/>
        <v>0</v>
      </c>
      <c r="I152" s="139">
        <f t="shared" si="13"/>
        <v>0</v>
      </c>
      <c r="J152" s="67">
        <f t="shared" si="19"/>
        <v>0</v>
      </c>
      <c r="K152" s="67"/>
      <c r="L152" s="132"/>
      <c r="M152" s="67">
        <f t="shared" si="20"/>
        <v>0</v>
      </c>
      <c r="N152" s="132"/>
      <c r="O152" s="67">
        <f t="shared" si="21"/>
        <v>0</v>
      </c>
      <c r="P152" s="67">
        <f t="shared" si="22"/>
        <v>0</v>
      </c>
    </row>
    <row r="153" spans="2:16">
      <c r="B153" s="9" t="str">
        <f t="shared" si="15"/>
        <v/>
      </c>
      <c r="C153" s="62">
        <f>IF(D93="","-",+C152+1)</f>
        <v>2069</v>
      </c>
      <c r="D153" s="63">
        <f>IF(F152+SUM(E$99:E152)=D$92,F152,D$92-SUM(E$99:E152))</f>
        <v>0</v>
      </c>
      <c r="E153" s="69">
        <f t="shared" si="16"/>
        <v>0</v>
      </c>
      <c r="F153" s="68">
        <f t="shared" si="17"/>
        <v>0</v>
      </c>
      <c r="G153" s="68">
        <f t="shared" si="18"/>
        <v>0</v>
      </c>
      <c r="H153" s="130">
        <f t="shared" si="12"/>
        <v>0</v>
      </c>
      <c r="I153" s="139">
        <f t="shared" si="13"/>
        <v>0</v>
      </c>
      <c r="J153" s="67">
        <f t="shared" si="19"/>
        <v>0</v>
      </c>
      <c r="K153" s="67"/>
      <c r="L153" s="132"/>
      <c r="M153" s="67">
        <f t="shared" si="20"/>
        <v>0</v>
      </c>
      <c r="N153" s="132"/>
      <c r="O153" s="67">
        <f t="shared" si="21"/>
        <v>0</v>
      </c>
      <c r="P153" s="67">
        <f t="shared" si="22"/>
        <v>0</v>
      </c>
    </row>
    <row r="154" spans="2:16" ht="13.5" thickBot="1">
      <c r="B154" s="9" t="str">
        <f t="shared" si="15"/>
        <v/>
      </c>
      <c r="C154" s="72">
        <f>IF(D93="","-",+C153+1)</f>
        <v>2070</v>
      </c>
      <c r="D154" s="98">
        <f>IF(F153+SUM(E$99:E153)=D$92,F153,D$92-SUM(E$99:E153))</f>
        <v>0</v>
      </c>
      <c r="E154" s="74">
        <f t="shared" si="16"/>
        <v>0</v>
      </c>
      <c r="F154" s="73">
        <f t="shared" si="17"/>
        <v>0</v>
      </c>
      <c r="G154" s="73">
        <f t="shared" si="18"/>
        <v>0</v>
      </c>
      <c r="H154" s="140">
        <f t="shared" si="12"/>
        <v>0</v>
      </c>
      <c r="I154" s="141">
        <f t="shared" si="13"/>
        <v>0</v>
      </c>
      <c r="J154" s="76">
        <f t="shared" si="19"/>
        <v>0</v>
      </c>
      <c r="K154" s="67"/>
      <c r="L154" s="133"/>
      <c r="M154" s="76">
        <f t="shared" si="20"/>
        <v>0</v>
      </c>
      <c r="N154" s="133"/>
      <c r="O154" s="76">
        <f t="shared" si="21"/>
        <v>0</v>
      </c>
      <c r="P154" s="76">
        <f t="shared" si="22"/>
        <v>0</v>
      </c>
    </row>
    <row r="155" spans="2:16">
      <c r="C155" s="63" t="s">
        <v>77</v>
      </c>
      <c r="D155" s="20"/>
      <c r="E155" s="20">
        <f>SUM(E99:E154)</f>
        <v>0</v>
      </c>
      <c r="F155" s="20"/>
      <c r="G155" s="20"/>
      <c r="H155" s="20">
        <f>SUM(H99:H154)</f>
        <v>0</v>
      </c>
      <c r="I155" s="20">
        <f>SUM(I99:I154)</f>
        <v>0</v>
      </c>
      <c r="J155" s="20">
        <f>SUM(J99:J154)</f>
        <v>0</v>
      </c>
      <c r="K155" s="20"/>
      <c r="L155" s="20"/>
      <c r="M155" s="20"/>
      <c r="N155" s="20"/>
      <c r="O155" s="20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20"/>
      <c r="L156" s="3"/>
      <c r="M156" s="3"/>
      <c r="N156" s="3"/>
      <c r="O156" s="3"/>
      <c r="P156" s="1"/>
    </row>
    <row r="157" spans="2:16">
      <c r="C157" s="99"/>
      <c r="D157" s="2"/>
      <c r="E157" s="1"/>
      <c r="F157" s="1"/>
      <c r="G157" s="1"/>
      <c r="H157" s="1"/>
      <c r="I157" s="3"/>
      <c r="J157" s="3"/>
      <c r="K157" s="20"/>
      <c r="L157" s="3"/>
      <c r="M157" s="3"/>
      <c r="N157" s="3"/>
      <c r="O157" s="3"/>
      <c r="P157" s="1"/>
    </row>
    <row r="158" spans="2:16">
      <c r="C158" s="115" t="s">
        <v>148</v>
      </c>
      <c r="D158" s="2"/>
      <c r="E158" s="1"/>
      <c r="F158" s="1"/>
      <c r="G158" s="1"/>
      <c r="H158" s="1"/>
      <c r="I158" s="3"/>
      <c r="J158" s="3"/>
      <c r="K158" s="20"/>
      <c r="L158" s="3"/>
      <c r="M158" s="3"/>
      <c r="N158" s="3"/>
      <c r="O158" s="3"/>
      <c r="P158" s="1"/>
    </row>
    <row r="159" spans="2:16">
      <c r="C159" s="32" t="s">
        <v>78</v>
      </c>
      <c r="D159" s="63"/>
      <c r="E159" s="63"/>
      <c r="F159" s="63"/>
      <c r="G159" s="63"/>
      <c r="H159" s="20"/>
      <c r="I159" s="20"/>
      <c r="J159" s="78"/>
      <c r="K159" s="78"/>
      <c r="L159" s="78"/>
      <c r="M159" s="78"/>
      <c r="N159" s="78"/>
      <c r="O159" s="78"/>
      <c r="P159" s="1"/>
    </row>
    <row r="160" spans="2:16">
      <c r="C160" s="100" t="s">
        <v>79</v>
      </c>
      <c r="D160" s="63"/>
      <c r="E160" s="63"/>
      <c r="F160" s="63"/>
      <c r="G160" s="63"/>
      <c r="H160" s="20"/>
      <c r="I160" s="20"/>
      <c r="J160" s="78"/>
      <c r="K160" s="78"/>
      <c r="L160" s="78"/>
      <c r="M160" s="78"/>
      <c r="N160" s="78"/>
      <c r="O160" s="78"/>
      <c r="P160" s="1"/>
    </row>
    <row r="161" spans="3:16">
      <c r="C161" s="100"/>
      <c r="D161" s="63"/>
      <c r="E161" s="63"/>
      <c r="F161" s="63"/>
      <c r="G161" s="63"/>
      <c r="H161" s="20"/>
      <c r="I161" s="20"/>
      <c r="J161" s="78"/>
      <c r="K161" s="78"/>
      <c r="L161" s="78"/>
      <c r="M161" s="78"/>
      <c r="N161" s="78"/>
      <c r="O161" s="78"/>
      <c r="P161" s="1"/>
    </row>
    <row r="162" spans="3:16" ht="18">
      <c r="C162" s="100"/>
      <c r="D162" s="63"/>
      <c r="E162" s="63"/>
      <c r="F162" s="63"/>
      <c r="G162" s="63"/>
      <c r="H162" s="20"/>
      <c r="I162" s="20"/>
      <c r="J162" s="78"/>
      <c r="K162" s="78"/>
      <c r="L162" s="78"/>
      <c r="M162" s="78"/>
      <c r="N162" s="78"/>
      <c r="P162" s="112" t="s">
        <v>145</v>
      </c>
    </row>
  </sheetData>
  <conditionalFormatting sqref="C17:C72">
    <cfRule type="cellIs" dxfId="3" priority="1" stopIfTrue="1" operator="equal">
      <formula>$I$10</formula>
    </cfRule>
  </conditionalFormatting>
  <conditionalFormatting sqref="C99:C154">
    <cfRule type="cellIs" dxfId="2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58"/>
  <dimension ref="A1:P162"/>
  <sheetViews>
    <sheetView zoomScaleNormal="100" zoomScaleSheetLayoutView="78" workbookViewId="0">
      <selection activeCell="D17" sqref="D17:I71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110" t="s">
        <v>147</v>
      </c>
      <c r="B1" s="1"/>
      <c r="C1" s="10"/>
      <c r="D1" s="2"/>
      <c r="E1" s="1"/>
      <c r="F1" s="15"/>
      <c r="G1" s="1"/>
      <c r="H1" s="3"/>
      <c r="J1" s="7"/>
      <c r="K1" s="19"/>
      <c r="L1" s="19"/>
      <c r="M1" s="19"/>
      <c r="P1" s="116" t="str">
        <f ca="1">"PSO Project "&amp;RIGHT(MID(CELL("filename",$A$1),FIND("]",CELL("filename",$A$1))+1,256),2)&amp;" of "&amp;COUNT('P.001:P.xyz - blank'!$P$3)-1</f>
        <v>PSO Project nk of 33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117" t="s">
        <v>150</v>
      </c>
    </row>
    <row r="3" spans="1:16" ht="18.75">
      <c r="B3" s="5" t="s">
        <v>42</v>
      </c>
      <c r="C3" s="14" t="s">
        <v>43</v>
      </c>
      <c r="D3" s="2"/>
      <c r="E3" s="1"/>
      <c r="F3" s="1"/>
      <c r="G3" s="1"/>
      <c r="H3" s="3"/>
      <c r="I3" s="3"/>
      <c r="J3" s="20"/>
      <c r="K3" s="3"/>
      <c r="L3" s="3"/>
      <c r="M3" s="3"/>
      <c r="N3" s="3"/>
      <c r="O3" s="1"/>
      <c r="P3" s="108">
        <v>1</v>
      </c>
    </row>
    <row r="4" spans="1:16" ht="15.75" thickBot="1">
      <c r="C4" s="13"/>
      <c r="D4" s="2"/>
      <c r="E4" s="1"/>
      <c r="F4" s="1"/>
      <c r="G4" s="1"/>
      <c r="H4" s="3"/>
      <c r="I4" s="3"/>
      <c r="J4" s="20"/>
      <c r="K4" s="3"/>
      <c r="L4" s="3"/>
      <c r="M4" s="3"/>
      <c r="N4" s="3"/>
      <c r="O4" s="1"/>
      <c r="P4" s="1"/>
    </row>
    <row r="5" spans="1:16" ht="15">
      <c r="C5" s="21" t="s">
        <v>44</v>
      </c>
      <c r="D5" s="2"/>
      <c r="E5" s="1"/>
      <c r="F5" s="1"/>
      <c r="G5" s="22"/>
      <c r="H5" s="1" t="s">
        <v>45</v>
      </c>
      <c r="I5" s="1"/>
      <c r="J5" s="4"/>
      <c r="K5" s="23" t="s">
        <v>284</v>
      </c>
      <c r="L5" s="24"/>
      <c r="M5" s="25"/>
      <c r="N5" s="26">
        <f>VLOOKUP(I10,C17:I72,5)</f>
        <v>0</v>
      </c>
      <c r="P5" s="1"/>
    </row>
    <row r="6" spans="1:16" ht="15.75">
      <c r="C6" s="8"/>
      <c r="D6" s="2"/>
      <c r="E6" s="1"/>
      <c r="F6" s="1"/>
      <c r="G6" s="1"/>
      <c r="H6" s="27"/>
      <c r="I6" s="27"/>
      <c r="J6" s="28"/>
      <c r="K6" s="29" t="s">
        <v>285</v>
      </c>
      <c r="L6" s="30"/>
      <c r="M6" s="4"/>
      <c r="N6" s="31">
        <f>VLOOKUP(I10,C17:I72,6)</f>
        <v>0</v>
      </c>
      <c r="O6" s="1"/>
      <c r="P6" s="1"/>
    </row>
    <row r="7" spans="1:16" ht="13.5" thickBot="1">
      <c r="C7" s="32" t="s">
        <v>46</v>
      </c>
      <c r="D7" s="104" t="s">
        <v>108</v>
      </c>
      <c r="E7" s="1"/>
      <c r="F7" s="1"/>
      <c r="G7" s="1"/>
      <c r="H7" s="3"/>
      <c r="I7" s="3"/>
      <c r="J7" s="20"/>
      <c r="K7" s="33" t="s">
        <v>47</v>
      </c>
      <c r="L7" s="34"/>
      <c r="M7" s="34"/>
      <c r="N7" s="35">
        <f>+N6-N5</f>
        <v>0</v>
      </c>
      <c r="O7" s="1"/>
      <c r="P7" s="1"/>
    </row>
    <row r="8" spans="1:16" ht="13.5" thickBot="1">
      <c r="C8" s="36"/>
      <c r="D8" s="114" t="str">
        <f>IF(D10&lt;100000,"DOES NOT MEET SPP $100,000 MINIMUM INVESTMENT FOR REGIONAL BPU SHARING.","")</f>
        <v>DOES NOT MEET SPP $100,000 MINIMUM INVESTMENT FOR REGIONAL BPU SHARING.</v>
      </c>
      <c r="E8" s="37"/>
      <c r="F8" s="37"/>
      <c r="G8" s="37"/>
      <c r="H8" s="37"/>
      <c r="I8" s="37"/>
      <c r="J8" s="16"/>
      <c r="K8" s="37"/>
      <c r="L8" s="37"/>
      <c r="M8" s="37"/>
      <c r="N8" s="37"/>
      <c r="O8" s="16"/>
      <c r="P8" s="10"/>
    </row>
    <row r="9" spans="1:16" ht="13.5" thickBot="1">
      <c r="C9" s="38" t="s">
        <v>48</v>
      </c>
      <c r="D9" s="106"/>
      <c r="E9" s="39"/>
      <c r="F9" s="39"/>
      <c r="G9" s="39"/>
      <c r="H9" s="39"/>
      <c r="I9" s="40"/>
      <c r="J9" s="41"/>
      <c r="O9" s="42"/>
      <c r="P9" s="4"/>
    </row>
    <row r="10" spans="1:16">
      <c r="C10" s="145" t="s">
        <v>226</v>
      </c>
      <c r="D10" s="43"/>
      <c r="E10" s="12" t="s">
        <v>51</v>
      </c>
      <c r="F10" s="42"/>
      <c r="G10" s="44"/>
      <c r="H10" s="44"/>
      <c r="I10" s="45">
        <f>+'PSO.WS.F.BPU.ATRR.Projected'!L19</f>
        <v>2024</v>
      </c>
      <c r="J10" s="41"/>
      <c r="K10" s="20" t="s">
        <v>52</v>
      </c>
      <c r="O10" s="4"/>
      <c r="P10" s="4"/>
    </row>
    <row r="11" spans="1:16">
      <c r="C11" s="46" t="s">
        <v>53</v>
      </c>
      <c r="D11" s="47">
        <v>2017</v>
      </c>
      <c r="E11" s="46" t="s">
        <v>54</v>
      </c>
      <c r="F11" s="44"/>
      <c r="G11" s="7"/>
      <c r="H11" s="7"/>
      <c r="I11" s="48">
        <f>IF(G5="",0,'PSO.WS.F.BPU.ATRR.Projected'!F$13)</f>
        <v>0</v>
      </c>
      <c r="J11" s="49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46" t="s">
        <v>55</v>
      </c>
      <c r="D12" s="43">
        <v>4</v>
      </c>
      <c r="E12" s="46" t="s">
        <v>56</v>
      </c>
      <c r="F12" s="44"/>
      <c r="G12" s="7"/>
      <c r="H12" s="7"/>
      <c r="I12" s="50">
        <f>'PSO.WS.F.BPU.ATRR.Projected'!$F$81</f>
        <v>0.11374018757958901</v>
      </c>
      <c r="J12" s="51"/>
      <c r="K12" t="s">
        <v>57</v>
      </c>
      <c r="O12" s="4"/>
      <c r="P12" s="4"/>
    </row>
    <row r="13" spans="1:16">
      <c r="C13" s="46" t="s">
        <v>58</v>
      </c>
      <c r="D13" s="48">
        <f>+'PSO.WS.F.BPU.ATRR.Projected'!F$93</f>
        <v>38</v>
      </c>
      <c r="E13" s="46" t="s">
        <v>59</v>
      </c>
      <c r="F13" s="44"/>
      <c r="G13" s="7"/>
      <c r="H13" s="7"/>
      <c r="I13" s="50">
        <f>IF(G5="",I12,'PSO.WS.F.BPU.ATRR.Projected'!$F$80)</f>
        <v>0.11374018757958901</v>
      </c>
      <c r="J13" s="51"/>
      <c r="K13" s="20" t="s">
        <v>60</v>
      </c>
      <c r="L13" s="11"/>
      <c r="M13" s="11"/>
      <c r="N13" s="11"/>
      <c r="O13" s="4"/>
      <c r="P13" s="4"/>
    </row>
    <row r="14" spans="1:16" ht="13.5" thickBot="1">
      <c r="C14" s="46" t="s">
        <v>61</v>
      </c>
      <c r="D14" s="47" t="s">
        <v>62</v>
      </c>
      <c r="E14" s="4" t="s">
        <v>63</v>
      </c>
      <c r="F14" s="44"/>
      <c r="G14" s="7"/>
      <c r="H14" s="7"/>
      <c r="I14" s="52">
        <f>IF(D10=0,0,D10/D13)</f>
        <v>0</v>
      </c>
      <c r="J14" s="20"/>
      <c r="K14" s="20"/>
      <c r="L14" s="20"/>
      <c r="M14" s="20"/>
      <c r="N14" s="20"/>
      <c r="O14" s="4"/>
      <c r="P14" s="4"/>
    </row>
    <row r="15" spans="1:16" ht="38.25">
      <c r="C15" s="53" t="s">
        <v>50</v>
      </c>
      <c r="D15" s="54" t="s">
        <v>64</v>
      </c>
      <c r="E15" s="54" t="s">
        <v>65</v>
      </c>
      <c r="F15" s="54" t="s">
        <v>66</v>
      </c>
      <c r="G15" s="142" t="s">
        <v>286</v>
      </c>
      <c r="H15" s="143" t="s">
        <v>287</v>
      </c>
      <c r="I15" s="53" t="s">
        <v>67</v>
      </c>
      <c r="J15" s="55"/>
      <c r="K15" s="135" t="s">
        <v>205</v>
      </c>
      <c r="L15" s="136" t="s">
        <v>68</v>
      </c>
      <c r="M15" s="135" t="s">
        <v>205</v>
      </c>
      <c r="N15" s="136" t="s">
        <v>68</v>
      </c>
      <c r="O15" s="56" t="s">
        <v>69</v>
      </c>
      <c r="P15" s="4"/>
    </row>
    <row r="16" spans="1:16" ht="13.5" thickBot="1">
      <c r="C16" s="57" t="s">
        <v>70</v>
      </c>
      <c r="D16" s="57" t="s">
        <v>71</v>
      </c>
      <c r="E16" s="57" t="s">
        <v>72</v>
      </c>
      <c r="F16" s="57" t="s">
        <v>71</v>
      </c>
      <c r="G16" s="129" t="s">
        <v>73</v>
      </c>
      <c r="H16" s="58" t="s">
        <v>74</v>
      </c>
      <c r="I16" s="59" t="s">
        <v>104</v>
      </c>
      <c r="J16" s="60" t="s">
        <v>75</v>
      </c>
      <c r="K16" s="61" t="s">
        <v>76</v>
      </c>
      <c r="L16" s="137" t="s">
        <v>76</v>
      </c>
      <c r="M16" s="61" t="s">
        <v>105</v>
      </c>
      <c r="N16" s="138" t="s">
        <v>105</v>
      </c>
      <c r="O16" s="61" t="s">
        <v>105</v>
      </c>
      <c r="P16" s="4"/>
    </row>
    <row r="17" spans="2:16">
      <c r="B17" s="9"/>
      <c r="C17" s="62">
        <f>IF(D11= "","-",D11)</f>
        <v>2017</v>
      </c>
      <c r="D17" s="63">
        <v>0</v>
      </c>
      <c r="E17" s="64">
        <f>IF(D10&gt;=100000,I$14/12*(12-D12),0)</f>
        <v>0</v>
      </c>
      <c r="F17" s="68">
        <f>IF(D11=C17,+D10-E17,+D17-E17)</f>
        <v>0</v>
      </c>
      <c r="G17" s="64">
        <f>(D17+F17)/2*I$12+E17</f>
        <v>0</v>
      </c>
      <c r="H17" s="52">
        <f>+(D17+F17)/2*I$13+E17</f>
        <v>0</v>
      </c>
      <c r="I17" s="65">
        <f>H17-G17</f>
        <v>0</v>
      </c>
      <c r="J17" s="65"/>
      <c r="K17" s="134"/>
      <c r="L17" s="66">
        <f t="shared" ref="L17:L48" si="0">IF(K17&lt;&gt;0,+G17-K17,0)</f>
        <v>0</v>
      </c>
      <c r="M17" s="134"/>
      <c r="N17" s="66">
        <f t="shared" ref="N17:N48" si="1">IF(M17&lt;&gt;0,+H17-M17,0)</f>
        <v>0</v>
      </c>
      <c r="O17" s="67">
        <f t="shared" ref="O17:O48" si="2">+N17-L17</f>
        <v>0</v>
      </c>
      <c r="P17" s="4"/>
    </row>
    <row r="18" spans="2:16">
      <c r="B18" s="9" t="str">
        <f>IF(D18=F17,"","IU")</f>
        <v/>
      </c>
      <c r="C18" s="62">
        <f>IF(D11="","-",+C17+1)</f>
        <v>2018</v>
      </c>
      <c r="D18" s="71">
        <f>IF(F17+SUM(E$17:E17)=D$10,F17,D$10-SUM(E$17:E17))</f>
        <v>0</v>
      </c>
      <c r="E18" s="69">
        <f>IF(+I$14&lt;F17,I$14,D18)</f>
        <v>0</v>
      </c>
      <c r="F18" s="68">
        <f>+D18-E18</f>
        <v>0</v>
      </c>
      <c r="G18" s="70">
        <f>(D18+F18)/2*I$12+E18</f>
        <v>0</v>
      </c>
      <c r="H18" s="52">
        <f>+(D18+F18)/2*I$13+E18</f>
        <v>0</v>
      </c>
      <c r="I18" s="65">
        <f>H18-G18</f>
        <v>0</v>
      </c>
      <c r="J18" s="65"/>
      <c r="K18" s="132"/>
      <c r="L18" s="67">
        <f t="shared" si="0"/>
        <v>0</v>
      </c>
      <c r="M18" s="132"/>
      <c r="N18" s="67">
        <f t="shared" si="1"/>
        <v>0</v>
      </c>
      <c r="O18" s="67">
        <f t="shared" si="2"/>
        <v>0</v>
      </c>
      <c r="P18" s="4"/>
    </row>
    <row r="19" spans="2:16">
      <c r="B19" s="9" t="str">
        <f>IF(D19=F18,"","IU")</f>
        <v/>
      </c>
      <c r="C19" s="62">
        <f>IF(D11="","-",+C18+1)</f>
        <v>2019</v>
      </c>
      <c r="D19" s="71">
        <f>IF(F18+SUM(E$17:E18)=D$10,F18,D$10-SUM(E$17:E18))</f>
        <v>0</v>
      </c>
      <c r="E19" s="69">
        <f t="shared" ref="E19:E71" si="3">IF(+I$14&lt;F18,I$14,D19)</f>
        <v>0</v>
      </c>
      <c r="F19" s="68">
        <f t="shared" ref="F19:F71" si="4">+D19-E19</f>
        <v>0</v>
      </c>
      <c r="G19" s="70">
        <f t="shared" ref="G19:G71" si="5">(D19+F19)/2*I$12+E19</f>
        <v>0</v>
      </c>
      <c r="H19" s="52">
        <f t="shared" ref="H19:H71" si="6">+(D19+F19)/2*I$13+E19</f>
        <v>0</v>
      </c>
      <c r="I19" s="65">
        <f t="shared" ref="I19:I71" si="7">H19-G19</f>
        <v>0</v>
      </c>
      <c r="J19" s="65"/>
      <c r="K19" s="132"/>
      <c r="L19" s="67">
        <f t="shared" si="0"/>
        <v>0</v>
      </c>
      <c r="M19" s="132"/>
      <c r="N19" s="67">
        <f t="shared" si="1"/>
        <v>0</v>
      </c>
      <c r="O19" s="67">
        <f t="shared" si="2"/>
        <v>0</v>
      </c>
      <c r="P19" s="4"/>
    </row>
    <row r="20" spans="2:16">
      <c r="B20" s="9" t="str">
        <f t="shared" ref="B20:B72" si="8">IF(D20=F19,"","IU")</f>
        <v/>
      </c>
      <c r="C20" s="62">
        <f>IF(D11="","-",+C19+1)</f>
        <v>2020</v>
      </c>
      <c r="D20" s="71">
        <f>IF(F19+SUM(E$17:E19)=D$10,F19,D$10-SUM(E$17:E19))</f>
        <v>0</v>
      </c>
      <c r="E20" s="69">
        <f t="shared" si="3"/>
        <v>0</v>
      </c>
      <c r="F20" s="68">
        <f t="shared" si="4"/>
        <v>0</v>
      </c>
      <c r="G20" s="70">
        <f t="shared" si="5"/>
        <v>0</v>
      </c>
      <c r="H20" s="52">
        <f t="shared" si="6"/>
        <v>0</v>
      </c>
      <c r="I20" s="65">
        <f t="shared" si="7"/>
        <v>0</v>
      </c>
      <c r="J20" s="65"/>
      <c r="K20" s="132"/>
      <c r="L20" s="67">
        <f t="shared" si="0"/>
        <v>0</v>
      </c>
      <c r="M20" s="132"/>
      <c r="N20" s="67">
        <f t="shared" si="1"/>
        <v>0</v>
      </c>
      <c r="O20" s="67">
        <f t="shared" si="2"/>
        <v>0</v>
      </c>
      <c r="P20" s="4"/>
    </row>
    <row r="21" spans="2:16">
      <c r="B21" s="9" t="str">
        <f t="shared" si="8"/>
        <v/>
      </c>
      <c r="C21" s="62">
        <f>IF(D11="","-",+C20+1)</f>
        <v>2021</v>
      </c>
      <c r="D21" s="71">
        <f>IF(F20+SUM(E$17:E20)=D$10,F20,D$10-SUM(E$17:E20))</f>
        <v>0</v>
      </c>
      <c r="E21" s="69">
        <f t="shared" si="3"/>
        <v>0</v>
      </c>
      <c r="F21" s="68">
        <f t="shared" si="4"/>
        <v>0</v>
      </c>
      <c r="G21" s="70">
        <f t="shared" si="5"/>
        <v>0</v>
      </c>
      <c r="H21" s="52">
        <f t="shared" si="6"/>
        <v>0</v>
      </c>
      <c r="I21" s="65">
        <f t="shared" si="7"/>
        <v>0</v>
      </c>
      <c r="J21" s="65"/>
      <c r="K21" s="132"/>
      <c r="L21" s="67">
        <f t="shared" si="0"/>
        <v>0</v>
      </c>
      <c r="M21" s="132"/>
      <c r="N21" s="67">
        <f t="shared" si="1"/>
        <v>0</v>
      </c>
      <c r="O21" s="67">
        <f t="shared" si="2"/>
        <v>0</v>
      </c>
      <c r="P21" s="4"/>
    </row>
    <row r="22" spans="2:16">
      <c r="B22" s="9" t="str">
        <f t="shared" si="8"/>
        <v/>
      </c>
      <c r="C22" s="62">
        <f>IF(D11="","-",+C21+1)</f>
        <v>2022</v>
      </c>
      <c r="D22" s="71">
        <f>IF(F21+SUM(E$17:E21)=D$10,F21,D$10-SUM(E$17:E21))</f>
        <v>0</v>
      </c>
      <c r="E22" s="69">
        <f t="shared" si="3"/>
        <v>0</v>
      </c>
      <c r="F22" s="68">
        <f t="shared" si="4"/>
        <v>0</v>
      </c>
      <c r="G22" s="70">
        <f t="shared" si="5"/>
        <v>0</v>
      </c>
      <c r="H22" s="52">
        <f t="shared" si="6"/>
        <v>0</v>
      </c>
      <c r="I22" s="65">
        <f t="shared" si="7"/>
        <v>0</v>
      </c>
      <c r="J22" s="65"/>
      <c r="K22" s="132"/>
      <c r="L22" s="67">
        <f t="shared" si="0"/>
        <v>0</v>
      </c>
      <c r="M22" s="132"/>
      <c r="N22" s="67">
        <f t="shared" si="1"/>
        <v>0</v>
      </c>
      <c r="O22" s="67">
        <f t="shared" si="2"/>
        <v>0</v>
      </c>
      <c r="P22" s="4"/>
    </row>
    <row r="23" spans="2:16">
      <c r="B23" s="9" t="str">
        <f t="shared" si="8"/>
        <v/>
      </c>
      <c r="C23" s="62">
        <f>IF(D11="","-",+C22+1)</f>
        <v>2023</v>
      </c>
      <c r="D23" s="71">
        <f>IF(F22+SUM(E$17:E22)=D$10,F22,D$10-SUM(E$17:E22))</f>
        <v>0</v>
      </c>
      <c r="E23" s="69">
        <f t="shared" si="3"/>
        <v>0</v>
      </c>
      <c r="F23" s="68">
        <f t="shared" si="4"/>
        <v>0</v>
      </c>
      <c r="G23" s="70">
        <f t="shared" si="5"/>
        <v>0</v>
      </c>
      <c r="H23" s="52">
        <f t="shared" si="6"/>
        <v>0</v>
      </c>
      <c r="I23" s="65">
        <f t="shared" si="7"/>
        <v>0</v>
      </c>
      <c r="J23" s="65"/>
      <c r="K23" s="132"/>
      <c r="L23" s="67">
        <f t="shared" si="0"/>
        <v>0</v>
      </c>
      <c r="M23" s="132"/>
      <c r="N23" s="67">
        <f t="shared" si="1"/>
        <v>0</v>
      </c>
      <c r="O23" s="67">
        <f t="shared" si="2"/>
        <v>0</v>
      </c>
      <c r="P23" s="4"/>
    </row>
    <row r="24" spans="2:16">
      <c r="B24" s="9" t="str">
        <f t="shared" si="8"/>
        <v/>
      </c>
      <c r="C24" s="62">
        <f>IF(D11="","-",+C23+1)</f>
        <v>2024</v>
      </c>
      <c r="D24" s="71">
        <f>IF(F23+SUM(E$17:E23)=D$10,F23,D$10-SUM(E$17:E23))</f>
        <v>0</v>
      </c>
      <c r="E24" s="69">
        <f t="shared" si="3"/>
        <v>0</v>
      </c>
      <c r="F24" s="68">
        <f t="shared" si="4"/>
        <v>0</v>
      </c>
      <c r="G24" s="70">
        <f t="shared" si="5"/>
        <v>0</v>
      </c>
      <c r="H24" s="52">
        <f t="shared" si="6"/>
        <v>0</v>
      </c>
      <c r="I24" s="65">
        <f t="shared" si="7"/>
        <v>0</v>
      </c>
      <c r="J24" s="65"/>
      <c r="K24" s="132"/>
      <c r="L24" s="67">
        <f t="shared" si="0"/>
        <v>0</v>
      </c>
      <c r="M24" s="132"/>
      <c r="N24" s="67">
        <f t="shared" si="1"/>
        <v>0</v>
      </c>
      <c r="O24" s="67">
        <f t="shared" si="2"/>
        <v>0</v>
      </c>
      <c r="P24" s="4"/>
    </row>
    <row r="25" spans="2:16">
      <c r="B25" s="9" t="str">
        <f t="shared" si="8"/>
        <v/>
      </c>
      <c r="C25" s="62">
        <f>IF(D11="","-",+C24+1)</f>
        <v>2025</v>
      </c>
      <c r="D25" s="71">
        <f>IF(F24+SUM(E$17:E24)=D$10,F24,D$10-SUM(E$17:E24))</f>
        <v>0</v>
      </c>
      <c r="E25" s="69">
        <f t="shared" si="3"/>
        <v>0</v>
      </c>
      <c r="F25" s="68">
        <f t="shared" si="4"/>
        <v>0</v>
      </c>
      <c r="G25" s="70">
        <f t="shared" si="5"/>
        <v>0</v>
      </c>
      <c r="H25" s="52">
        <f t="shared" si="6"/>
        <v>0</v>
      </c>
      <c r="I25" s="65">
        <f t="shared" si="7"/>
        <v>0</v>
      </c>
      <c r="J25" s="65"/>
      <c r="K25" s="132"/>
      <c r="L25" s="67">
        <f t="shared" si="0"/>
        <v>0</v>
      </c>
      <c r="M25" s="132"/>
      <c r="N25" s="67">
        <f t="shared" si="1"/>
        <v>0</v>
      </c>
      <c r="O25" s="67">
        <f t="shared" si="2"/>
        <v>0</v>
      </c>
      <c r="P25" s="4"/>
    </row>
    <row r="26" spans="2:16">
      <c r="B26" s="9" t="str">
        <f t="shared" si="8"/>
        <v/>
      </c>
      <c r="C26" s="62">
        <f>IF(D11="","-",+C25+1)</f>
        <v>2026</v>
      </c>
      <c r="D26" s="71">
        <f>IF(F25+SUM(E$17:E25)=D$10,F25,D$10-SUM(E$17:E25))</f>
        <v>0</v>
      </c>
      <c r="E26" s="69">
        <f t="shared" si="3"/>
        <v>0</v>
      </c>
      <c r="F26" s="68">
        <f t="shared" si="4"/>
        <v>0</v>
      </c>
      <c r="G26" s="70">
        <f t="shared" si="5"/>
        <v>0</v>
      </c>
      <c r="H26" s="52">
        <f t="shared" si="6"/>
        <v>0</v>
      </c>
      <c r="I26" s="65">
        <f t="shared" si="7"/>
        <v>0</v>
      </c>
      <c r="J26" s="65"/>
      <c r="K26" s="132"/>
      <c r="L26" s="67">
        <f t="shared" si="0"/>
        <v>0</v>
      </c>
      <c r="M26" s="132"/>
      <c r="N26" s="67">
        <f t="shared" si="1"/>
        <v>0</v>
      </c>
      <c r="O26" s="67">
        <f t="shared" si="2"/>
        <v>0</v>
      </c>
      <c r="P26" s="4"/>
    </row>
    <row r="27" spans="2:16">
      <c r="B27" s="9" t="str">
        <f t="shared" si="8"/>
        <v/>
      </c>
      <c r="C27" s="62">
        <f>IF(D11="","-",+C26+1)</f>
        <v>2027</v>
      </c>
      <c r="D27" s="71">
        <f>IF(F26+SUM(E$17:E26)=D$10,F26,D$10-SUM(E$17:E26))</f>
        <v>0</v>
      </c>
      <c r="E27" s="69">
        <f t="shared" si="3"/>
        <v>0</v>
      </c>
      <c r="F27" s="68">
        <f t="shared" si="4"/>
        <v>0</v>
      </c>
      <c r="G27" s="70">
        <f t="shared" si="5"/>
        <v>0</v>
      </c>
      <c r="H27" s="52">
        <f t="shared" si="6"/>
        <v>0</v>
      </c>
      <c r="I27" s="65">
        <f t="shared" si="7"/>
        <v>0</v>
      </c>
      <c r="J27" s="65"/>
      <c r="K27" s="132"/>
      <c r="L27" s="67">
        <f t="shared" si="0"/>
        <v>0</v>
      </c>
      <c r="M27" s="132"/>
      <c r="N27" s="67">
        <f t="shared" si="1"/>
        <v>0</v>
      </c>
      <c r="O27" s="67">
        <f t="shared" si="2"/>
        <v>0</v>
      </c>
      <c r="P27" s="4"/>
    </row>
    <row r="28" spans="2:16">
      <c r="B28" s="9" t="str">
        <f t="shared" si="8"/>
        <v/>
      </c>
      <c r="C28" s="62">
        <f>IF(D11="","-",+C27+1)</f>
        <v>2028</v>
      </c>
      <c r="D28" s="71">
        <f>IF(F27+SUM(E$17:E27)=D$10,F27,D$10-SUM(E$17:E27))</f>
        <v>0</v>
      </c>
      <c r="E28" s="69">
        <f t="shared" si="3"/>
        <v>0</v>
      </c>
      <c r="F28" s="68">
        <f t="shared" si="4"/>
        <v>0</v>
      </c>
      <c r="G28" s="70">
        <f t="shared" si="5"/>
        <v>0</v>
      </c>
      <c r="H28" s="52">
        <f t="shared" si="6"/>
        <v>0</v>
      </c>
      <c r="I28" s="65">
        <f t="shared" si="7"/>
        <v>0</v>
      </c>
      <c r="J28" s="65"/>
      <c r="K28" s="132"/>
      <c r="L28" s="67">
        <f t="shared" si="0"/>
        <v>0</v>
      </c>
      <c r="M28" s="132"/>
      <c r="N28" s="67">
        <f t="shared" si="1"/>
        <v>0</v>
      </c>
      <c r="O28" s="67">
        <f t="shared" si="2"/>
        <v>0</v>
      </c>
      <c r="P28" s="4"/>
    </row>
    <row r="29" spans="2:16">
      <c r="B29" s="9" t="str">
        <f t="shared" si="8"/>
        <v/>
      </c>
      <c r="C29" s="62">
        <f>IF(D11="","-",+C28+1)</f>
        <v>2029</v>
      </c>
      <c r="D29" s="71">
        <f>IF(F28+SUM(E$17:E28)=D$10,F28,D$10-SUM(E$17:E28))</f>
        <v>0</v>
      </c>
      <c r="E29" s="69">
        <f t="shared" si="3"/>
        <v>0</v>
      </c>
      <c r="F29" s="68">
        <f t="shared" si="4"/>
        <v>0</v>
      </c>
      <c r="G29" s="70">
        <f t="shared" si="5"/>
        <v>0</v>
      </c>
      <c r="H29" s="52">
        <f t="shared" si="6"/>
        <v>0</v>
      </c>
      <c r="I29" s="65">
        <f t="shared" si="7"/>
        <v>0</v>
      </c>
      <c r="J29" s="65"/>
      <c r="K29" s="132"/>
      <c r="L29" s="67">
        <f t="shared" si="0"/>
        <v>0</v>
      </c>
      <c r="M29" s="132"/>
      <c r="N29" s="67">
        <f t="shared" si="1"/>
        <v>0</v>
      </c>
      <c r="O29" s="67">
        <f t="shared" si="2"/>
        <v>0</v>
      </c>
      <c r="P29" s="4"/>
    </row>
    <row r="30" spans="2:16">
      <c r="B30" s="9" t="str">
        <f t="shared" si="8"/>
        <v/>
      </c>
      <c r="C30" s="62">
        <f>IF(D11="","-",+C29+1)</f>
        <v>2030</v>
      </c>
      <c r="D30" s="71">
        <f>IF(F29+SUM(E$17:E29)=D$10,F29,D$10-SUM(E$17:E29))</f>
        <v>0</v>
      </c>
      <c r="E30" s="69">
        <f t="shared" si="3"/>
        <v>0</v>
      </c>
      <c r="F30" s="68">
        <f t="shared" si="4"/>
        <v>0</v>
      </c>
      <c r="G30" s="70">
        <f t="shared" si="5"/>
        <v>0</v>
      </c>
      <c r="H30" s="52">
        <f t="shared" si="6"/>
        <v>0</v>
      </c>
      <c r="I30" s="65">
        <f t="shared" si="7"/>
        <v>0</v>
      </c>
      <c r="J30" s="65"/>
      <c r="K30" s="132"/>
      <c r="L30" s="67">
        <f t="shared" si="0"/>
        <v>0</v>
      </c>
      <c r="M30" s="132"/>
      <c r="N30" s="67">
        <f t="shared" si="1"/>
        <v>0</v>
      </c>
      <c r="O30" s="67">
        <f t="shared" si="2"/>
        <v>0</v>
      </c>
      <c r="P30" s="4"/>
    </row>
    <row r="31" spans="2:16">
      <c r="B31" s="9" t="str">
        <f t="shared" si="8"/>
        <v/>
      </c>
      <c r="C31" s="62">
        <f>IF(D11="","-",+C30+1)</f>
        <v>2031</v>
      </c>
      <c r="D31" s="71">
        <f>IF(F30+SUM(E$17:E30)=D$10,F30,D$10-SUM(E$17:E30))</f>
        <v>0</v>
      </c>
      <c r="E31" s="69">
        <f t="shared" si="3"/>
        <v>0</v>
      </c>
      <c r="F31" s="68">
        <f t="shared" si="4"/>
        <v>0</v>
      </c>
      <c r="G31" s="70">
        <f t="shared" si="5"/>
        <v>0</v>
      </c>
      <c r="H31" s="52">
        <f t="shared" si="6"/>
        <v>0</v>
      </c>
      <c r="I31" s="65">
        <f t="shared" si="7"/>
        <v>0</v>
      </c>
      <c r="J31" s="65"/>
      <c r="K31" s="132"/>
      <c r="L31" s="67">
        <f t="shared" si="0"/>
        <v>0</v>
      </c>
      <c r="M31" s="132"/>
      <c r="N31" s="67">
        <f t="shared" si="1"/>
        <v>0</v>
      </c>
      <c r="O31" s="67">
        <f t="shared" si="2"/>
        <v>0</v>
      </c>
      <c r="P31" s="4"/>
    </row>
    <row r="32" spans="2:16">
      <c r="B32" s="9" t="str">
        <f t="shared" si="8"/>
        <v/>
      </c>
      <c r="C32" s="62">
        <f>IF(D11="","-",+C31+1)</f>
        <v>2032</v>
      </c>
      <c r="D32" s="71">
        <f>IF(F31+SUM(E$17:E31)=D$10,F31,D$10-SUM(E$17:E31))</f>
        <v>0</v>
      </c>
      <c r="E32" s="69">
        <f t="shared" si="3"/>
        <v>0</v>
      </c>
      <c r="F32" s="68">
        <f t="shared" si="4"/>
        <v>0</v>
      </c>
      <c r="G32" s="70">
        <f t="shared" si="5"/>
        <v>0</v>
      </c>
      <c r="H32" s="52">
        <f t="shared" si="6"/>
        <v>0</v>
      </c>
      <c r="I32" s="65">
        <f t="shared" si="7"/>
        <v>0</v>
      </c>
      <c r="J32" s="65"/>
      <c r="K32" s="132"/>
      <c r="L32" s="67">
        <f t="shared" si="0"/>
        <v>0</v>
      </c>
      <c r="M32" s="132"/>
      <c r="N32" s="67">
        <f t="shared" si="1"/>
        <v>0</v>
      </c>
      <c r="O32" s="67">
        <f t="shared" si="2"/>
        <v>0</v>
      </c>
      <c r="P32" s="4"/>
    </row>
    <row r="33" spans="2:16">
      <c r="B33" s="9" t="str">
        <f t="shared" si="8"/>
        <v/>
      </c>
      <c r="C33" s="62">
        <f>IF(D11="","-",+C32+1)</f>
        <v>2033</v>
      </c>
      <c r="D33" s="71">
        <f>IF(F32+SUM(E$17:E32)=D$10,F32,D$10-SUM(E$17:E32))</f>
        <v>0</v>
      </c>
      <c r="E33" s="69">
        <f t="shared" si="3"/>
        <v>0</v>
      </c>
      <c r="F33" s="68">
        <f t="shared" si="4"/>
        <v>0</v>
      </c>
      <c r="G33" s="70">
        <f t="shared" si="5"/>
        <v>0</v>
      </c>
      <c r="H33" s="52">
        <f t="shared" si="6"/>
        <v>0</v>
      </c>
      <c r="I33" s="65">
        <f t="shared" si="7"/>
        <v>0</v>
      </c>
      <c r="J33" s="65"/>
      <c r="K33" s="132"/>
      <c r="L33" s="67">
        <f t="shared" si="0"/>
        <v>0</v>
      </c>
      <c r="M33" s="132"/>
      <c r="N33" s="67">
        <f t="shared" si="1"/>
        <v>0</v>
      </c>
      <c r="O33" s="67">
        <f t="shared" si="2"/>
        <v>0</v>
      </c>
      <c r="P33" s="4"/>
    </row>
    <row r="34" spans="2:16">
      <c r="B34" s="9" t="str">
        <f t="shared" si="8"/>
        <v/>
      </c>
      <c r="C34" s="62">
        <f>IF(D11="","-",+C33+1)</f>
        <v>2034</v>
      </c>
      <c r="D34" s="71">
        <f>IF(F33+SUM(E$17:E33)=D$10,F33,D$10-SUM(E$17:E33))</f>
        <v>0</v>
      </c>
      <c r="E34" s="69">
        <f t="shared" si="3"/>
        <v>0</v>
      </c>
      <c r="F34" s="68">
        <f t="shared" si="4"/>
        <v>0</v>
      </c>
      <c r="G34" s="70">
        <f t="shared" si="5"/>
        <v>0</v>
      </c>
      <c r="H34" s="52">
        <f t="shared" si="6"/>
        <v>0</v>
      </c>
      <c r="I34" s="65">
        <f t="shared" si="7"/>
        <v>0</v>
      </c>
      <c r="J34" s="65"/>
      <c r="K34" s="132"/>
      <c r="L34" s="67">
        <f t="shared" si="0"/>
        <v>0</v>
      </c>
      <c r="M34" s="132"/>
      <c r="N34" s="67">
        <f t="shared" si="1"/>
        <v>0</v>
      </c>
      <c r="O34" s="67">
        <f t="shared" si="2"/>
        <v>0</v>
      </c>
      <c r="P34" s="4"/>
    </row>
    <row r="35" spans="2:16">
      <c r="B35" s="9" t="str">
        <f t="shared" si="8"/>
        <v/>
      </c>
      <c r="C35" s="62">
        <f>IF(D11="","-",+C34+1)</f>
        <v>2035</v>
      </c>
      <c r="D35" s="71">
        <f>IF(F34+SUM(E$17:E34)=D$10,F34,D$10-SUM(E$17:E34))</f>
        <v>0</v>
      </c>
      <c r="E35" s="69">
        <f t="shared" si="3"/>
        <v>0</v>
      </c>
      <c r="F35" s="68">
        <f t="shared" si="4"/>
        <v>0</v>
      </c>
      <c r="G35" s="70">
        <f t="shared" si="5"/>
        <v>0</v>
      </c>
      <c r="H35" s="52">
        <f t="shared" si="6"/>
        <v>0</v>
      </c>
      <c r="I35" s="65">
        <f t="shared" si="7"/>
        <v>0</v>
      </c>
      <c r="J35" s="65"/>
      <c r="K35" s="132"/>
      <c r="L35" s="67">
        <f t="shared" si="0"/>
        <v>0</v>
      </c>
      <c r="M35" s="132"/>
      <c r="N35" s="67">
        <f t="shared" si="1"/>
        <v>0</v>
      </c>
      <c r="O35" s="67">
        <f t="shared" si="2"/>
        <v>0</v>
      </c>
      <c r="P35" s="4"/>
    </row>
    <row r="36" spans="2:16">
      <c r="B36" s="9" t="str">
        <f t="shared" si="8"/>
        <v/>
      </c>
      <c r="C36" s="62">
        <f>IF(D11="","-",+C35+1)</f>
        <v>2036</v>
      </c>
      <c r="D36" s="71">
        <f>IF(F35+SUM(E$17:E35)=D$10,F35,D$10-SUM(E$17:E35))</f>
        <v>0</v>
      </c>
      <c r="E36" s="69">
        <f t="shared" si="3"/>
        <v>0</v>
      </c>
      <c r="F36" s="68">
        <f t="shared" si="4"/>
        <v>0</v>
      </c>
      <c r="G36" s="70">
        <f t="shared" si="5"/>
        <v>0</v>
      </c>
      <c r="H36" s="52">
        <f t="shared" si="6"/>
        <v>0</v>
      </c>
      <c r="I36" s="65">
        <f t="shared" si="7"/>
        <v>0</v>
      </c>
      <c r="J36" s="65"/>
      <c r="K36" s="132"/>
      <c r="L36" s="67">
        <f t="shared" si="0"/>
        <v>0</v>
      </c>
      <c r="M36" s="132"/>
      <c r="N36" s="67">
        <f t="shared" si="1"/>
        <v>0</v>
      </c>
      <c r="O36" s="67">
        <f t="shared" si="2"/>
        <v>0</v>
      </c>
      <c r="P36" s="4"/>
    </row>
    <row r="37" spans="2:16">
      <c r="B37" s="9" t="str">
        <f t="shared" si="8"/>
        <v/>
      </c>
      <c r="C37" s="62">
        <f>IF(D11="","-",+C36+1)</f>
        <v>2037</v>
      </c>
      <c r="D37" s="71">
        <f>IF(F36+SUM(E$17:E36)=D$10,F36,D$10-SUM(E$17:E36))</f>
        <v>0</v>
      </c>
      <c r="E37" s="69">
        <f t="shared" si="3"/>
        <v>0</v>
      </c>
      <c r="F37" s="68">
        <f t="shared" si="4"/>
        <v>0</v>
      </c>
      <c r="G37" s="70">
        <f t="shared" si="5"/>
        <v>0</v>
      </c>
      <c r="H37" s="52">
        <f t="shared" si="6"/>
        <v>0</v>
      </c>
      <c r="I37" s="65">
        <f t="shared" si="7"/>
        <v>0</v>
      </c>
      <c r="J37" s="65"/>
      <c r="K37" s="132"/>
      <c r="L37" s="67">
        <f t="shared" si="0"/>
        <v>0</v>
      </c>
      <c r="M37" s="132"/>
      <c r="N37" s="67">
        <f t="shared" si="1"/>
        <v>0</v>
      </c>
      <c r="O37" s="67">
        <f t="shared" si="2"/>
        <v>0</v>
      </c>
      <c r="P37" s="4"/>
    </row>
    <row r="38" spans="2:16">
      <c r="B38" s="9" t="str">
        <f t="shared" si="8"/>
        <v/>
      </c>
      <c r="C38" s="62">
        <f>IF(D11="","-",+C37+1)</f>
        <v>2038</v>
      </c>
      <c r="D38" s="71">
        <f>IF(F37+SUM(E$17:E37)=D$10,F37,D$10-SUM(E$17:E37))</f>
        <v>0</v>
      </c>
      <c r="E38" s="69">
        <f t="shared" si="3"/>
        <v>0</v>
      </c>
      <c r="F38" s="68">
        <f t="shared" si="4"/>
        <v>0</v>
      </c>
      <c r="G38" s="70">
        <f t="shared" si="5"/>
        <v>0</v>
      </c>
      <c r="H38" s="52">
        <f t="shared" si="6"/>
        <v>0</v>
      </c>
      <c r="I38" s="65">
        <f t="shared" si="7"/>
        <v>0</v>
      </c>
      <c r="J38" s="65"/>
      <c r="K38" s="132"/>
      <c r="L38" s="67">
        <f t="shared" si="0"/>
        <v>0</v>
      </c>
      <c r="M38" s="132"/>
      <c r="N38" s="67">
        <f t="shared" si="1"/>
        <v>0</v>
      </c>
      <c r="O38" s="67">
        <f t="shared" si="2"/>
        <v>0</v>
      </c>
      <c r="P38" s="4"/>
    </row>
    <row r="39" spans="2:16">
      <c r="B39" s="9" t="str">
        <f t="shared" si="8"/>
        <v/>
      </c>
      <c r="C39" s="62">
        <f>IF(D11="","-",+C38+1)</f>
        <v>2039</v>
      </c>
      <c r="D39" s="71">
        <f>IF(F38+SUM(E$17:E38)=D$10,F38,D$10-SUM(E$17:E38))</f>
        <v>0</v>
      </c>
      <c r="E39" s="69">
        <f t="shared" si="3"/>
        <v>0</v>
      </c>
      <c r="F39" s="68">
        <f t="shared" si="4"/>
        <v>0</v>
      </c>
      <c r="G39" s="70">
        <f t="shared" si="5"/>
        <v>0</v>
      </c>
      <c r="H39" s="52">
        <f t="shared" si="6"/>
        <v>0</v>
      </c>
      <c r="I39" s="65">
        <f t="shared" si="7"/>
        <v>0</v>
      </c>
      <c r="J39" s="65"/>
      <c r="K39" s="132"/>
      <c r="L39" s="67">
        <f t="shared" si="0"/>
        <v>0</v>
      </c>
      <c r="M39" s="132"/>
      <c r="N39" s="67">
        <f t="shared" si="1"/>
        <v>0</v>
      </c>
      <c r="O39" s="67">
        <f t="shared" si="2"/>
        <v>0</v>
      </c>
      <c r="P39" s="4"/>
    </row>
    <row r="40" spans="2:16">
      <c r="B40" s="9" t="str">
        <f t="shared" si="8"/>
        <v/>
      </c>
      <c r="C40" s="62">
        <f>IF(D11="","-",+C39+1)</f>
        <v>2040</v>
      </c>
      <c r="D40" s="71">
        <f>IF(F39+SUM(E$17:E39)=D$10,F39,D$10-SUM(E$17:E39))</f>
        <v>0</v>
      </c>
      <c r="E40" s="69">
        <f t="shared" si="3"/>
        <v>0</v>
      </c>
      <c r="F40" s="68">
        <f t="shared" si="4"/>
        <v>0</v>
      </c>
      <c r="G40" s="70">
        <f t="shared" si="5"/>
        <v>0</v>
      </c>
      <c r="H40" s="52">
        <f t="shared" si="6"/>
        <v>0</v>
      </c>
      <c r="I40" s="65">
        <f t="shared" si="7"/>
        <v>0</v>
      </c>
      <c r="J40" s="65"/>
      <c r="K40" s="132"/>
      <c r="L40" s="67">
        <f t="shared" si="0"/>
        <v>0</v>
      </c>
      <c r="M40" s="132"/>
      <c r="N40" s="67">
        <f t="shared" si="1"/>
        <v>0</v>
      </c>
      <c r="O40" s="67">
        <f t="shared" si="2"/>
        <v>0</v>
      </c>
      <c r="P40" s="4"/>
    </row>
    <row r="41" spans="2:16">
      <c r="B41" s="9" t="str">
        <f t="shared" si="8"/>
        <v/>
      </c>
      <c r="C41" s="62">
        <f>IF(D11="","-",+C40+1)</f>
        <v>2041</v>
      </c>
      <c r="D41" s="71">
        <f>IF(F40+SUM(E$17:E40)=D$10,F40,D$10-SUM(E$17:E40))</f>
        <v>0</v>
      </c>
      <c r="E41" s="69">
        <f t="shared" si="3"/>
        <v>0</v>
      </c>
      <c r="F41" s="68">
        <f t="shared" si="4"/>
        <v>0</v>
      </c>
      <c r="G41" s="70">
        <f t="shared" si="5"/>
        <v>0</v>
      </c>
      <c r="H41" s="52">
        <f t="shared" si="6"/>
        <v>0</v>
      </c>
      <c r="I41" s="65">
        <f t="shared" si="7"/>
        <v>0</v>
      </c>
      <c r="J41" s="65"/>
      <c r="K41" s="132"/>
      <c r="L41" s="67">
        <f t="shared" si="0"/>
        <v>0</v>
      </c>
      <c r="M41" s="132"/>
      <c r="N41" s="67">
        <f t="shared" si="1"/>
        <v>0</v>
      </c>
      <c r="O41" s="67">
        <f t="shared" si="2"/>
        <v>0</v>
      </c>
      <c r="P41" s="4"/>
    </row>
    <row r="42" spans="2:16">
      <c r="B42" s="9" t="str">
        <f t="shared" si="8"/>
        <v/>
      </c>
      <c r="C42" s="62">
        <f>IF(D11="","-",+C41+1)</f>
        <v>2042</v>
      </c>
      <c r="D42" s="71">
        <f>IF(F41+SUM(E$17:E41)=D$10,F41,D$10-SUM(E$17:E41))</f>
        <v>0</v>
      </c>
      <c r="E42" s="69">
        <f t="shared" si="3"/>
        <v>0</v>
      </c>
      <c r="F42" s="68">
        <f t="shared" si="4"/>
        <v>0</v>
      </c>
      <c r="G42" s="70">
        <f t="shared" si="5"/>
        <v>0</v>
      </c>
      <c r="H42" s="52">
        <f t="shared" si="6"/>
        <v>0</v>
      </c>
      <c r="I42" s="65">
        <f t="shared" si="7"/>
        <v>0</v>
      </c>
      <c r="J42" s="65"/>
      <c r="K42" s="132"/>
      <c r="L42" s="67">
        <f t="shared" si="0"/>
        <v>0</v>
      </c>
      <c r="M42" s="132"/>
      <c r="N42" s="67">
        <f t="shared" si="1"/>
        <v>0</v>
      </c>
      <c r="O42" s="67">
        <f t="shared" si="2"/>
        <v>0</v>
      </c>
      <c r="P42" s="4"/>
    </row>
    <row r="43" spans="2:16">
      <c r="B43" s="9" t="str">
        <f t="shared" si="8"/>
        <v/>
      </c>
      <c r="C43" s="62">
        <f>IF(D11="","-",+C42+1)</f>
        <v>2043</v>
      </c>
      <c r="D43" s="71">
        <f>IF(F42+SUM(E$17:E42)=D$10,F42,D$10-SUM(E$17:E42))</f>
        <v>0</v>
      </c>
      <c r="E43" s="69">
        <f t="shared" si="3"/>
        <v>0</v>
      </c>
      <c r="F43" s="68">
        <f t="shared" si="4"/>
        <v>0</v>
      </c>
      <c r="G43" s="70">
        <f t="shared" si="5"/>
        <v>0</v>
      </c>
      <c r="H43" s="52">
        <f t="shared" si="6"/>
        <v>0</v>
      </c>
      <c r="I43" s="65">
        <f t="shared" si="7"/>
        <v>0</v>
      </c>
      <c r="J43" s="65"/>
      <c r="K43" s="132"/>
      <c r="L43" s="67">
        <f t="shared" si="0"/>
        <v>0</v>
      </c>
      <c r="M43" s="132"/>
      <c r="N43" s="67">
        <f t="shared" si="1"/>
        <v>0</v>
      </c>
      <c r="O43" s="67">
        <f t="shared" si="2"/>
        <v>0</v>
      </c>
      <c r="P43" s="4"/>
    </row>
    <row r="44" spans="2:16">
      <c r="B44" s="9" t="str">
        <f t="shared" si="8"/>
        <v/>
      </c>
      <c r="C44" s="62">
        <f>IF(D11="","-",+C43+1)</f>
        <v>2044</v>
      </c>
      <c r="D44" s="71">
        <f>IF(F43+SUM(E$17:E43)=D$10,F43,D$10-SUM(E$17:E43))</f>
        <v>0</v>
      </c>
      <c r="E44" s="69">
        <f t="shared" si="3"/>
        <v>0</v>
      </c>
      <c r="F44" s="68">
        <f t="shared" si="4"/>
        <v>0</v>
      </c>
      <c r="G44" s="70">
        <f t="shared" si="5"/>
        <v>0</v>
      </c>
      <c r="H44" s="52">
        <f t="shared" si="6"/>
        <v>0</v>
      </c>
      <c r="I44" s="65">
        <f t="shared" si="7"/>
        <v>0</v>
      </c>
      <c r="J44" s="65"/>
      <c r="K44" s="132"/>
      <c r="L44" s="67">
        <f t="shared" si="0"/>
        <v>0</v>
      </c>
      <c r="M44" s="132"/>
      <c r="N44" s="67">
        <f t="shared" si="1"/>
        <v>0</v>
      </c>
      <c r="O44" s="67">
        <f t="shared" si="2"/>
        <v>0</v>
      </c>
      <c r="P44" s="4"/>
    </row>
    <row r="45" spans="2:16">
      <c r="B45" s="9" t="str">
        <f t="shared" si="8"/>
        <v/>
      </c>
      <c r="C45" s="62">
        <f>IF(D11="","-",+C44+1)</f>
        <v>2045</v>
      </c>
      <c r="D45" s="71">
        <f>IF(F44+SUM(E$17:E44)=D$10,F44,D$10-SUM(E$17:E44))</f>
        <v>0</v>
      </c>
      <c r="E45" s="69">
        <f t="shared" si="3"/>
        <v>0</v>
      </c>
      <c r="F45" s="68">
        <f t="shared" si="4"/>
        <v>0</v>
      </c>
      <c r="G45" s="70">
        <f t="shared" si="5"/>
        <v>0</v>
      </c>
      <c r="H45" s="52">
        <f t="shared" si="6"/>
        <v>0</v>
      </c>
      <c r="I45" s="65">
        <f t="shared" si="7"/>
        <v>0</v>
      </c>
      <c r="J45" s="65"/>
      <c r="K45" s="132"/>
      <c r="L45" s="67">
        <f t="shared" si="0"/>
        <v>0</v>
      </c>
      <c r="M45" s="132"/>
      <c r="N45" s="67">
        <f t="shared" si="1"/>
        <v>0</v>
      </c>
      <c r="O45" s="67">
        <f t="shared" si="2"/>
        <v>0</v>
      </c>
      <c r="P45" s="4"/>
    </row>
    <row r="46" spans="2:16">
      <c r="B46" s="9" t="str">
        <f t="shared" si="8"/>
        <v/>
      </c>
      <c r="C46" s="62">
        <f>IF(D11="","-",+C45+1)</f>
        <v>2046</v>
      </c>
      <c r="D46" s="71">
        <f>IF(F45+SUM(E$17:E45)=D$10,F45,D$10-SUM(E$17:E45))</f>
        <v>0</v>
      </c>
      <c r="E46" s="69">
        <f t="shared" si="3"/>
        <v>0</v>
      </c>
      <c r="F46" s="68">
        <f t="shared" si="4"/>
        <v>0</v>
      </c>
      <c r="G46" s="70">
        <f t="shared" si="5"/>
        <v>0</v>
      </c>
      <c r="H46" s="52">
        <f t="shared" si="6"/>
        <v>0</v>
      </c>
      <c r="I46" s="65">
        <f t="shared" si="7"/>
        <v>0</v>
      </c>
      <c r="J46" s="65"/>
      <c r="K46" s="132"/>
      <c r="L46" s="67">
        <f t="shared" si="0"/>
        <v>0</v>
      </c>
      <c r="M46" s="132"/>
      <c r="N46" s="67">
        <f t="shared" si="1"/>
        <v>0</v>
      </c>
      <c r="O46" s="67">
        <f t="shared" si="2"/>
        <v>0</v>
      </c>
      <c r="P46" s="4"/>
    </row>
    <row r="47" spans="2:16">
      <c r="B47" s="9" t="str">
        <f t="shared" si="8"/>
        <v/>
      </c>
      <c r="C47" s="62">
        <f>IF(D11="","-",+C46+1)</f>
        <v>2047</v>
      </c>
      <c r="D47" s="71">
        <f>IF(F46+SUM(E$17:E46)=D$10,F46,D$10-SUM(E$17:E46))</f>
        <v>0</v>
      </c>
      <c r="E47" s="69">
        <f t="shared" si="3"/>
        <v>0</v>
      </c>
      <c r="F47" s="68">
        <f t="shared" si="4"/>
        <v>0</v>
      </c>
      <c r="G47" s="70">
        <f t="shared" si="5"/>
        <v>0</v>
      </c>
      <c r="H47" s="52">
        <f t="shared" si="6"/>
        <v>0</v>
      </c>
      <c r="I47" s="65">
        <f t="shared" si="7"/>
        <v>0</v>
      </c>
      <c r="J47" s="65"/>
      <c r="K47" s="132"/>
      <c r="L47" s="67">
        <f t="shared" si="0"/>
        <v>0</v>
      </c>
      <c r="M47" s="132"/>
      <c r="N47" s="67">
        <f t="shared" si="1"/>
        <v>0</v>
      </c>
      <c r="O47" s="67">
        <f t="shared" si="2"/>
        <v>0</v>
      </c>
      <c r="P47" s="4"/>
    </row>
    <row r="48" spans="2:16">
      <c r="B48" s="9" t="str">
        <f t="shared" si="8"/>
        <v/>
      </c>
      <c r="C48" s="62">
        <f>IF(D11="","-",+C47+1)</f>
        <v>2048</v>
      </c>
      <c r="D48" s="71">
        <f>IF(F47+SUM(E$17:E47)=D$10,F47,D$10-SUM(E$17:E47))</f>
        <v>0</v>
      </c>
      <c r="E48" s="69">
        <f t="shared" si="3"/>
        <v>0</v>
      </c>
      <c r="F48" s="68">
        <f t="shared" si="4"/>
        <v>0</v>
      </c>
      <c r="G48" s="70">
        <f t="shared" si="5"/>
        <v>0</v>
      </c>
      <c r="H48" s="52">
        <f t="shared" si="6"/>
        <v>0</v>
      </c>
      <c r="I48" s="65">
        <f t="shared" si="7"/>
        <v>0</v>
      </c>
      <c r="J48" s="65"/>
      <c r="K48" s="132"/>
      <c r="L48" s="67">
        <f t="shared" si="0"/>
        <v>0</v>
      </c>
      <c r="M48" s="132"/>
      <c r="N48" s="67">
        <f t="shared" si="1"/>
        <v>0</v>
      </c>
      <c r="O48" s="67">
        <f t="shared" si="2"/>
        <v>0</v>
      </c>
      <c r="P48" s="4"/>
    </row>
    <row r="49" spans="2:16">
      <c r="B49" s="9" t="str">
        <f t="shared" si="8"/>
        <v/>
      </c>
      <c r="C49" s="62">
        <f>IF(D11="","-",+C48+1)</f>
        <v>2049</v>
      </c>
      <c r="D49" s="71">
        <f>IF(F48+SUM(E$17:E48)=D$10,F48,D$10-SUM(E$17:E48))</f>
        <v>0</v>
      </c>
      <c r="E49" s="69">
        <f t="shared" si="3"/>
        <v>0</v>
      </c>
      <c r="F49" s="68">
        <f t="shared" si="4"/>
        <v>0</v>
      </c>
      <c r="G49" s="70">
        <f t="shared" si="5"/>
        <v>0</v>
      </c>
      <c r="H49" s="52">
        <f t="shared" si="6"/>
        <v>0</v>
      </c>
      <c r="I49" s="65">
        <f t="shared" si="7"/>
        <v>0</v>
      </c>
      <c r="J49" s="65"/>
      <c r="K49" s="132"/>
      <c r="L49" s="67">
        <f t="shared" ref="L49:L72" si="9">IF(K49&lt;&gt;0,+G49-K49,0)</f>
        <v>0</v>
      </c>
      <c r="M49" s="132"/>
      <c r="N49" s="67">
        <f t="shared" ref="N49:N72" si="10">IF(M49&lt;&gt;0,+H49-M49,0)</f>
        <v>0</v>
      </c>
      <c r="O49" s="67">
        <f t="shared" ref="O49:O72" si="11">+N49-L49</f>
        <v>0</v>
      </c>
      <c r="P49" s="4"/>
    </row>
    <row r="50" spans="2:16">
      <c r="B50" s="9" t="str">
        <f t="shared" si="8"/>
        <v/>
      </c>
      <c r="C50" s="62">
        <f>IF(D11="","-",+C49+1)</f>
        <v>2050</v>
      </c>
      <c r="D50" s="71">
        <f>IF(F49+SUM(E$17:E49)=D$10,F49,D$10-SUM(E$17:E49))</f>
        <v>0</v>
      </c>
      <c r="E50" s="69">
        <f t="shared" si="3"/>
        <v>0</v>
      </c>
      <c r="F50" s="68">
        <f t="shared" si="4"/>
        <v>0</v>
      </c>
      <c r="G50" s="70">
        <f t="shared" si="5"/>
        <v>0</v>
      </c>
      <c r="H50" s="52">
        <f t="shared" si="6"/>
        <v>0</v>
      </c>
      <c r="I50" s="65">
        <f t="shared" si="7"/>
        <v>0</v>
      </c>
      <c r="J50" s="65"/>
      <c r="K50" s="132"/>
      <c r="L50" s="67">
        <f t="shared" si="9"/>
        <v>0</v>
      </c>
      <c r="M50" s="132"/>
      <c r="N50" s="67">
        <f t="shared" si="10"/>
        <v>0</v>
      </c>
      <c r="O50" s="67">
        <f t="shared" si="11"/>
        <v>0</v>
      </c>
      <c r="P50" s="4"/>
    </row>
    <row r="51" spans="2:16">
      <c r="B51" s="9" t="str">
        <f t="shared" si="8"/>
        <v/>
      </c>
      <c r="C51" s="62">
        <f>IF(D11="","-",+C50+1)</f>
        <v>2051</v>
      </c>
      <c r="D51" s="71">
        <f>IF(F50+SUM(E$17:E50)=D$10,F50,D$10-SUM(E$17:E50))</f>
        <v>0</v>
      </c>
      <c r="E51" s="69">
        <f t="shared" si="3"/>
        <v>0</v>
      </c>
      <c r="F51" s="68">
        <f t="shared" si="4"/>
        <v>0</v>
      </c>
      <c r="G51" s="70">
        <f t="shared" si="5"/>
        <v>0</v>
      </c>
      <c r="H51" s="52">
        <f t="shared" si="6"/>
        <v>0</v>
      </c>
      <c r="I51" s="65">
        <f t="shared" si="7"/>
        <v>0</v>
      </c>
      <c r="J51" s="65"/>
      <c r="K51" s="132"/>
      <c r="L51" s="67">
        <f t="shared" si="9"/>
        <v>0</v>
      </c>
      <c r="M51" s="132"/>
      <c r="N51" s="67">
        <f t="shared" si="10"/>
        <v>0</v>
      </c>
      <c r="O51" s="67">
        <f t="shared" si="11"/>
        <v>0</v>
      </c>
      <c r="P51" s="4"/>
    </row>
    <row r="52" spans="2:16">
      <c r="B52" s="9" t="str">
        <f t="shared" si="8"/>
        <v/>
      </c>
      <c r="C52" s="62">
        <f>IF(D11="","-",+C51+1)</f>
        <v>2052</v>
      </c>
      <c r="D52" s="71">
        <f>IF(F51+SUM(E$17:E51)=D$10,F51,D$10-SUM(E$17:E51))</f>
        <v>0</v>
      </c>
      <c r="E52" s="69">
        <f t="shared" si="3"/>
        <v>0</v>
      </c>
      <c r="F52" s="68">
        <f t="shared" si="4"/>
        <v>0</v>
      </c>
      <c r="G52" s="70">
        <f t="shared" si="5"/>
        <v>0</v>
      </c>
      <c r="H52" s="52">
        <f t="shared" si="6"/>
        <v>0</v>
      </c>
      <c r="I52" s="65">
        <f t="shared" si="7"/>
        <v>0</v>
      </c>
      <c r="J52" s="65"/>
      <c r="K52" s="132"/>
      <c r="L52" s="67">
        <f t="shared" si="9"/>
        <v>0</v>
      </c>
      <c r="M52" s="132"/>
      <c r="N52" s="67">
        <f t="shared" si="10"/>
        <v>0</v>
      </c>
      <c r="O52" s="67">
        <f t="shared" si="11"/>
        <v>0</v>
      </c>
      <c r="P52" s="4"/>
    </row>
    <row r="53" spans="2:16">
      <c r="B53" s="9" t="str">
        <f t="shared" si="8"/>
        <v/>
      </c>
      <c r="C53" s="62">
        <f>IF(D11="","-",+C52+1)</f>
        <v>2053</v>
      </c>
      <c r="D53" s="71">
        <f>IF(F52+SUM(E$17:E52)=D$10,F52,D$10-SUM(E$17:E52))</f>
        <v>0</v>
      </c>
      <c r="E53" s="69">
        <f t="shared" si="3"/>
        <v>0</v>
      </c>
      <c r="F53" s="68">
        <f t="shared" si="4"/>
        <v>0</v>
      </c>
      <c r="G53" s="70">
        <f t="shared" si="5"/>
        <v>0</v>
      </c>
      <c r="H53" s="52">
        <f t="shared" si="6"/>
        <v>0</v>
      </c>
      <c r="I53" s="65">
        <f t="shared" si="7"/>
        <v>0</v>
      </c>
      <c r="J53" s="65"/>
      <c r="K53" s="132"/>
      <c r="L53" s="67">
        <f t="shared" si="9"/>
        <v>0</v>
      </c>
      <c r="M53" s="132"/>
      <c r="N53" s="67">
        <f t="shared" si="10"/>
        <v>0</v>
      </c>
      <c r="O53" s="67">
        <f t="shared" si="11"/>
        <v>0</v>
      </c>
      <c r="P53" s="4"/>
    </row>
    <row r="54" spans="2:16">
      <c r="B54" s="9" t="str">
        <f t="shared" si="8"/>
        <v/>
      </c>
      <c r="C54" s="62">
        <f>IF(D11="","-",+C53+1)</f>
        <v>2054</v>
      </c>
      <c r="D54" s="71">
        <f>IF(F53+SUM(E$17:E53)=D$10,F53,D$10-SUM(E$17:E53))</f>
        <v>0</v>
      </c>
      <c r="E54" s="69">
        <f t="shared" si="3"/>
        <v>0</v>
      </c>
      <c r="F54" s="68">
        <f t="shared" si="4"/>
        <v>0</v>
      </c>
      <c r="G54" s="70">
        <f t="shared" si="5"/>
        <v>0</v>
      </c>
      <c r="H54" s="52">
        <f t="shared" si="6"/>
        <v>0</v>
      </c>
      <c r="I54" s="65">
        <f t="shared" si="7"/>
        <v>0</v>
      </c>
      <c r="J54" s="65"/>
      <c r="K54" s="132"/>
      <c r="L54" s="67">
        <f t="shared" si="9"/>
        <v>0</v>
      </c>
      <c r="M54" s="132"/>
      <c r="N54" s="67">
        <f t="shared" si="10"/>
        <v>0</v>
      </c>
      <c r="O54" s="67">
        <f t="shared" si="11"/>
        <v>0</v>
      </c>
      <c r="P54" s="4"/>
    </row>
    <row r="55" spans="2:16">
      <c r="B55" s="9" t="str">
        <f t="shared" si="8"/>
        <v/>
      </c>
      <c r="C55" s="62">
        <f>IF(D11="","-",+C54+1)</f>
        <v>2055</v>
      </c>
      <c r="D55" s="71">
        <f>IF(F54+SUM(E$17:E54)=D$10,F54,D$10-SUM(E$17:E54))</f>
        <v>0</v>
      </c>
      <c r="E55" s="69">
        <f t="shared" si="3"/>
        <v>0</v>
      </c>
      <c r="F55" s="68">
        <f t="shared" si="4"/>
        <v>0</v>
      </c>
      <c r="G55" s="70">
        <f t="shared" si="5"/>
        <v>0</v>
      </c>
      <c r="H55" s="52">
        <f t="shared" si="6"/>
        <v>0</v>
      </c>
      <c r="I55" s="65">
        <f t="shared" si="7"/>
        <v>0</v>
      </c>
      <c r="J55" s="65"/>
      <c r="K55" s="132"/>
      <c r="L55" s="67">
        <f t="shared" si="9"/>
        <v>0</v>
      </c>
      <c r="M55" s="132"/>
      <c r="N55" s="67">
        <f t="shared" si="10"/>
        <v>0</v>
      </c>
      <c r="O55" s="67">
        <f t="shared" si="11"/>
        <v>0</v>
      </c>
      <c r="P55" s="4"/>
    </row>
    <row r="56" spans="2:16">
      <c r="B56" s="9" t="str">
        <f t="shared" si="8"/>
        <v/>
      </c>
      <c r="C56" s="62">
        <f>IF(D11="","-",+C55+1)</f>
        <v>2056</v>
      </c>
      <c r="D56" s="71">
        <f>IF(F55+SUM(E$17:E55)=D$10,F55,D$10-SUM(E$17:E55))</f>
        <v>0</v>
      </c>
      <c r="E56" s="69">
        <f t="shared" si="3"/>
        <v>0</v>
      </c>
      <c r="F56" s="68">
        <f t="shared" si="4"/>
        <v>0</v>
      </c>
      <c r="G56" s="70">
        <f t="shared" si="5"/>
        <v>0</v>
      </c>
      <c r="H56" s="52">
        <f t="shared" si="6"/>
        <v>0</v>
      </c>
      <c r="I56" s="65">
        <f t="shared" si="7"/>
        <v>0</v>
      </c>
      <c r="J56" s="65"/>
      <c r="K56" s="132"/>
      <c r="L56" s="67">
        <f t="shared" si="9"/>
        <v>0</v>
      </c>
      <c r="M56" s="132"/>
      <c r="N56" s="67">
        <f t="shared" si="10"/>
        <v>0</v>
      </c>
      <c r="O56" s="67">
        <f t="shared" si="11"/>
        <v>0</v>
      </c>
      <c r="P56" s="4"/>
    </row>
    <row r="57" spans="2:16">
      <c r="B57" s="9" t="str">
        <f t="shared" si="8"/>
        <v/>
      </c>
      <c r="C57" s="62">
        <f>IF(D11="","-",+C56+1)</f>
        <v>2057</v>
      </c>
      <c r="D57" s="71">
        <f>IF(F56+SUM(E$17:E56)=D$10,F56,D$10-SUM(E$17:E56))</f>
        <v>0</v>
      </c>
      <c r="E57" s="69">
        <f t="shared" si="3"/>
        <v>0</v>
      </c>
      <c r="F57" s="68">
        <f t="shared" si="4"/>
        <v>0</v>
      </c>
      <c r="G57" s="70">
        <f t="shared" si="5"/>
        <v>0</v>
      </c>
      <c r="H57" s="52">
        <f t="shared" si="6"/>
        <v>0</v>
      </c>
      <c r="I57" s="65">
        <f t="shared" si="7"/>
        <v>0</v>
      </c>
      <c r="J57" s="65"/>
      <c r="K57" s="132"/>
      <c r="L57" s="67">
        <f t="shared" si="9"/>
        <v>0</v>
      </c>
      <c r="M57" s="132"/>
      <c r="N57" s="67">
        <f t="shared" si="10"/>
        <v>0</v>
      </c>
      <c r="O57" s="67">
        <f t="shared" si="11"/>
        <v>0</v>
      </c>
      <c r="P57" s="4"/>
    </row>
    <row r="58" spans="2:16">
      <c r="B58" s="9" t="str">
        <f t="shared" si="8"/>
        <v/>
      </c>
      <c r="C58" s="62">
        <f>IF(D11="","-",+C57+1)</f>
        <v>2058</v>
      </c>
      <c r="D58" s="71">
        <f>IF(F57+SUM(E$17:E57)=D$10,F57,D$10-SUM(E$17:E57))</f>
        <v>0</v>
      </c>
      <c r="E58" s="69">
        <f t="shared" si="3"/>
        <v>0</v>
      </c>
      <c r="F58" s="68">
        <f t="shared" si="4"/>
        <v>0</v>
      </c>
      <c r="G58" s="70">
        <f t="shared" si="5"/>
        <v>0</v>
      </c>
      <c r="H58" s="52">
        <f t="shared" si="6"/>
        <v>0</v>
      </c>
      <c r="I58" s="65">
        <f t="shared" si="7"/>
        <v>0</v>
      </c>
      <c r="J58" s="65"/>
      <c r="K58" s="132"/>
      <c r="L58" s="67">
        <f t="shared" si="9"/>
        <v>0</v>
      </c>
      <c r="M58" s="132"/>
      <c r="N58" s="67">
        <f t="shared" si="10"/>
        <v>0</v>
      </c>
      <c r="O58" s="67">
        <f t="shared" si="11"/>
        <v>0</v>
      </c>
      <c r="P58" s="4"/>
    </row>
    <row r="59" spans="2:16">
      <c r="B59" s="9" t="str">
        <f t="shared" si="8"/>
        <v/>
      </c>
      <c r="C59" s="62">
        <f>IF(D11="","-",+C58+1)</f>
        <v>2059</v>
      </c>
      <c r="D59" s="71">
        <f>IF(F58+SUM(E$17:E58)=D$10,F58,D$10-SUM(E$17:E58))</f>
        <v>0</v>
      </c>
      <c r="E59" s="69">
        <f t="shared" si="3"/>
        <v>0</v>
      </c>
      <c r="F59" s="68">
        <f t="shared" si="4"/>
        <v>0</v>
      </c>
      <c r="G59" s="70">
        <f t="shared" si="5"/>
        <v>0</v>
      </c>
      <c r="H59" s="52">
        <f t="shared" si="6"/>
        <v>0</v>
      </c>
      <c r="I59" s="65">
        <f t="shared" si="7"/>
        <v>0</v>
      </c>
      <c r="J59" s="65"/>
      <c r="K59" s="132"/>
      <c r="L59" s="67">
        <f t="shared" si="9"/>
        <v>0</v>
      </c>
      <c r="M59" s="132"/>
      <c r="N59" s="67">
        <f t="shared" si="10"/>
        <v>0</v>
      </c>
      <c r="O59" s="67">
        <f t="shared" si="11"/>
        <v>0</v>
      </c>
      <c r="P59" s="4"/>
    </row>
    <row r="60" spans="2:16">
      <c r="B60" s="9" t="str">
        <f t="shared" si="8"/>
        <v/>
      </c>
      <c r="C60" s="62">
        <f>IF(D11="","-",+C59+1)</f>
        <v>2060</v>
      </c>
      <c r="D60" s="71">
        <f>IF(F59+SUM(E$17:E59)=D$10,F59,D$10-SUM(E$17:E59))</f>
        <v>0</v>
      </c>
      <c r="E60" s="69">
        <f t="shared" si="3"/>
        <v>0</v>
      </c>
      <c r="F60" s="68">
        <f t="shared" si="4"/>
        <v>0</v>
      </c>
      <c r="G60" s="70">
        <f t="shared" si="5"/>
        <v>0</v>
      </c>
      <c r="H60" s="52">
        <f t="shared" si="6"/>
        <v>0</v>
      </c>
      <c r="I60" s="65">
        <f t="shared" si="7"/>
        <v>0</v>
      </c>
      <c r="J60" s="65"/>
      <c r="K60" s="132"/>
      <c r="L60" s="67">
        <f t="shared" si="9"/>
        <v>0</v>
      </c>
      <c r="M60" s="132"/>
      <c r="N60" s="67">
        <f t="shared" si="10"/>
        <v>0</v>
      </c>
      <c r="O60" s="67">
        <f t="shared" si="11"/>
        <v>0</v>
      </c>
      <c r="P60" s="4"/>
    </row>
    <row r="61" spans="2:16">
      <c r="B61" s="9" t="str">
        <f t="shared" si="8"/>
        <v/>
      </c>
      <c r="C61" s="62">
        <f>IF(D11="","-",+C60+1)</f>
        <v>2061</v>
      </c>
      <c r="D61" s="71">
        <f>IF(F60+SUM(E$17:E60)=D$10,F60,D$10-SUM(E$17:E60))</f>
        <v>0</v>
      </c>
      <c r="E61" s="69">
        <f t="shared" si="3"/>
        <v>0</v>
      </c>
      <c r="F61" s="68">
        <f t="shared" si="4"/>
        <v>0</v>
      </c>
      <c r="G61" s="70">
        <f t="shared" si="5"/>
        <v>0</v>
      </c>
      <c r="H61" s="52">
        <f t="shared" si="6"/>
        <v>0</v>
      </c>
      <c r="I61" s="65">
        <f t="shared" si="7"/>
        <v>0</v>
      </c>
      <c r="J61" s="65"/>
      <c r="K61" s="132"/>
      <c r="L61" s="67">
        <f t="shared" si="9"/>
        <v>0</v>
      </c>
      <c r="M61" s="132"/>
      <c r="N61" s="67">
        <f t="shared" si="10"/>
        <v>0</v>
      </c>
      <c r="O61" s="67">
        <f t="shared" si="11"/>
        <v>0</v>
      </c>
      <c r="P61" s="4"/>
    </row>
    <row r="62" spans="2:16">
      <c r="B62" s="9" t="str">
        <f t="shared" si="8"/>
        <v/>
      </c>
      <c r="C62" s="62">
        <f>IF(D11="","-",+C61+1)</f>
        <v>2062</v>
      </c>
      <c r="D62" s="71">
        <f>IF(F61+SUM(E$17:E61)=D$10,F61,D$10-SUM(E$17:E61))</f>
        <v>0</v>
      </c>
      <c r="E62" s="69">
        <f t="shared" si="3"/>
        <v>0</v>
      </c>
      <c r="F62" s="68">
        <f t="shared" si="4"/>
        <v>0</v>
      </c>
      <c r="G62" s="70">
        <f t="shared" si="5"/>
        <v>0</v>
      </c>
      <c r="H62" s="52">
        <f t="shared" si="6"/>
        <v>0</v>
      </c>
      <c r="I62" s="65">
        <f t="shared" si="7"/>
        <v>0</v>
      </c>
      <c r="J62" s="65"/>
      <c r="K62" s="132"/>
      <c r="L62" s="67">
        <f t="shared" si="9"/>
        <v>0</v>
      </c>
      <c r="M62" s="132"/>
      <c r="N62" s="67">
        <f t="shared" si="10"/>
        <v>0</v>
      </c>
      <c r="O62" s="67">
        <f t="shared" si="11"/>
        <v>0</v>
      </c>
      <c r="P62" s="4"/>
    </row>
    <row r="63" spans="2:16">
      <c r="B63" s="9" t="str">
        <f t="shared" si="8"/>
        <v/>
      </c>
      <c r="C63" s="62">
        <f>IF(D11="","-",+C62+1)</f>
        <v>2063</v>
      </c>
      <c r="D63" s="71">
        <f>IF(F62+SUM(E$17:E62)=D$10,F62,D$10-SUM(E$17:E62))</f>
        <v>0</v>
      </c>
      <c r="E63" s="69">
        <f t="shared" si="3"/>
        <v>0</v>
      </c>
      <c r="F63" s="68">
        <f t="shared" si="4"/>
        <v>0</v>
      </c>
      <c r="G63" s="70">
        <f t="shared" si="5"/>
        <v>0</v>
      </c>
      <c r="H63" s="52">
        <f t="shared" si="6"/>
        <v>0</v>
      </c>
      <c r="I63" s="65">
        <f t="shared" si="7"/>
        <v>0</v>
      </c>
      <c r="J63" s="65"/>
      <c r="K63" s="132"/>
      <c r="L63" s="67">
        <f t="shared" si="9"/>
        <v>0</v>
      </c>
      <c r="M63" s="132"/>
      <c r="N63" s="67">
        <f t="shared" si="10"/>
        <v>0</v>
      </c>
      <c r="O63" s="67">
        <f t="shared" si="11"/>
        <v>0</v>
      </c>
      <c r="P63" s="4"/>
    </row>
    <row r="64" spans="2:16">
      <c r="B64" s="9" t="str">
        <f t="shared" si="8"/>
        <v/>
      </c>
      <c r="C64" s="62">
        <f>IF(D11="","-",+C63+1)</f>
        <v>2064</v>
      </c>
      <c r="D64" s="71">
        <f>IF(F63+SUM(E$17:E63)=D$10,F63,D$10-SUM(E$17:E63))</f>
        <v>0</v>
      </c>
      <c r="E64" s="69">
        <f t="shared" si="3"/>
        <v>0</v>
      </c>
      <c r="F64" s="68">
        <f t="shared" si="4"/>
        <v>0</v>
      </c>
      <c r="G64" s="70">
        <f t="shared" si="5"/>
        <v>0</v>
      </c>
      <c r="H64" s="52">
        <f t="shared" si="6"/>
        <v>0</v>
      </c>
      <c r="I64" s="65">
        <f t="shared" si="7"/>
        <v>0</v>
      </c>
      <c r="J64" s="65"/>
      <c r="K64" s="132"/>
      <c r="L64" s="67">
        <f t="shared" si="9"/>
        <v>0</v>
      </c>
      <c r="M64" s="132"/>
      <c r="N64" s="67">
        <f t="shared" si="10"/>
        <v>0</v>
      </c>
      <c r="O64" s="67">
        <f t="shared" si="11"/>
        <v>0</v>
      </c>
      <c r="P64" s="4"/>
    </row>
    <row r="65" spans="2:16">
      <c r="B65" s="9" t="str">
        <f t="shared" si="8"/>
        <v/>
      </c>
      <c r="C65" s="62">
        <f>IF(D11="","-",+C64+1)</f>
        <v>2065</v>
      </c>
      <c r="D65" s="71">
        <f>IF(F64+SUM(E$17:E64)=D$10,F64,D$10-SUM(E$17:E64))</f>
        <v>0</v>
      </c>
      <c r="E65" s="69">
        <f t="shared" si="3"/>
        <v>0</v>
      </c>
      <c r="F65" s="68">
        <f t="shared" si="4"/>
        <v>0</v>
      </c>
      <c r="G65" s="70">
        <f t="shared" si="5"/>
        <v>0</v>
      </c>
      <c r="H65" s="52">
        <f t="shared" si="6"/>
        <v>0</v>
      </c>
      <c r="I65" s="65">
        <f t="shared" si="7"/>
        <v>0</v>
      </c>
      <c r="J65" s="65"/>
      <c r="K65" s="132"/>
      <c r="L65" s="67">
        <f t="shared" si="9"/>
        <v>0</v>
      </c>
      <c r="M65" s="132"/>
      <c r="N65" s="67">
        <f t="shared" si="10"/>
        <v>0</v>
      </c>
      <c r="O65" s="67">
        <f t="shared" si="11"/>
        <v>0</v>
      </c>
      <c r="P65" s="4"/>
    </row>
    <row r="66" spans="2:16">
      <c r="B66" s="9" t="str">
        <f t="shared" si="8"/>
        <v/>
      </c>
      <c r="C66" s="62">
        <f>IF(D11="","-",+C65+1)</f>
        <v>2066</v>
      </c>
      <c r="D66" s="71">
        <f>IF(F65+SUM(E$17:E65)=D$10,F65,D$10-SUM(E$17:E65))</f>
        <v>0</v>
      </c>
      <c r="E66" s="69">
        <f t="shared" si="3"/>
        <v>0</v>
      </c>
      <c r="F66" s="68">
        <f t="shared" si="4"/>
        <v>0</v>
      </c>
      <c r="G66" s="70">
        <f t="shared" si="5"/>
        <v>0</v>
      </c>
      <c r="H66" s="52">
        <f t="shared" si="6"/>
        <v>0</v>
      </c>
      <c r="I66" s="65">
        <f t="shared" si="7"/>
        <v>0</v>
      </c>
      <c r="J66" s="65"/>
      <c r="K66" s="132"/>
      <c r="L66" s="67">
        <f t="shared" si="9"/>
        <v>0</v>
      </c>
      <c r="M66" s="132"/>
      <c r="N66" s="67">
        <f t="shared" si="10"/>
        <v>0</v>
      </c>
      <c r="O66" s="67">
        <f t="shared" si="11"/>
        <v>0</v>
      </c>
      <c r="P66" s="4"/>
    </row>
    <row r="67" spans="2:16">
      <c r="B67" s="9" t="str">
        <f t="shared" si="8"/>
        <v/>
      </c>
      <c r="C67" s="62">
        <f>IF(D11="","-",+C66+1)</f>
        <v>2067</v>
      </c>
      <c r="D67" s="71">
        <f>IF(F66+SUM(E$17:E66)=D$10,F66,D$10-SUM(E$17:E66))</f>
        <v>0</v>
      </c>
      <c r="E67" s="69">
        <f t="shared" si="3"/>
        <v>0</v>
      </c>
      <c r="F67" s="68">
        <f t="shared" si="4"/>
        <v>0</v>
      </c>
      <c r="G67" s="70">
        <f t="shared" si="5"/>
        <v>0</v>
      </c>
      <c r="H67" s="52">
        <f t="shared" si="6"/>
        <v>0</v>
      </c>
      <c r="I67" s="65">
        <f t="shared" si="7"/>
        <v>0</v>
      </c>
      <c r="J67" s="65"/>
      <c r="K67" s="132"/>
      <c r="L67" s="67">
        <f t="shared" si="9"/>
        <v>0</v>
      </c>
      <c r="M67" s="132"/>
      <c r="N67" s="67">
        <f t="shared" si="10"/>
        <v>0</v>
      </c>
      <c r="O67" s="67">
        <f t="shared" si="11"/>
        <v>0</v>
      </c>
      <c r="P67" s="4"/>
    </row>
    <row r="68" spans="2:16">
      <c r="B68" s="9" t="str">
        <f t="shared" si="8"/>
        <v/>
      </c>
      <c r="C68" s="62">
        <f>IF(D11="","-",+C67+1)</f>
        <v>2068</v>
      </c>
      <c r="D68" s="71">
        <f>IF(F67+SUM(E$17:E67)=D$10,F67,D$10-SUM(E$17:E67))</f>
        <v>0</v>
      </c>
      <c r="E68" s="69">
        <f t="shared" si="3"/>
        <v>0</v>
      </c>
      <c r="F68" s="68">
        <f t="shared" si="4"/>
        <v>0</v>
      </c>
      <c r="G68" s="70">
        <f t="shared" si="5"/>
        <v>0</v>
      </c>
      <c r="H68" s="52">
        <f t="shared" si="6"/>
        <v>0</v>
      </c>
      <c r="I68" s="65">
        <f t="shared" si="7"/>
        <v>0</v>
      </c>
      <c r="J68" s="65"/>
      <c r="K68" s="132"/>
      <c r="L68" s="67">
        <f t="shared" si="9"/>
        <v>0</v>
      </c>
      <c r="M68" s="132"/>
      <c r="N68" s="67">
        <f t="shared" si="10"/>
        <v>0</v>
      </c>
      <c r="O68" s="67">
        <f t="shared" si="11"/>
        <v>0</v>
      </c>
      <c r="P68" s="4"/>
    </row>
    <row r="69" spans="2:16">
      <c r="B69" s="9" t="str">
        <f t="shared" si="8"/>
        <v/>
      </c>
      <c r="C69" s="62">
        <f>IF(D11="","-",+C68+1)</f>
        <v>2069</v>
      </c>
      <c r="D69" s="71">
        <f>IF(F68+SUM(E$17:E68)=D$10,F68,D$10-SUM(E$17:E68))</f>
        <v>0</v>
      </c>
      <c r="E69" s="69">
        <f t="shared" si="3"/>
        <v>0</v>
      </c>
      <c r="F69" s="68">
        <f t="shared" si="4"/>
        <v>0</v>
      </c>
      <c r="G69" s="70">
        <f t="shared" si="5"/>
        <v>0</v>
      </c>
      <c r="H69" s="52">
        <f t="shared" si="6"/>
        <v>0</v>
      </c>
      <c r="I69" s="65">
        <f t="shared" si="7"/>
        <v>0</v>
      </c>
      <c r="J69" s="65"/>
      <c r="K69" s="132"/>
      <c r="L69" s="67">
        <f t="shared" si="9"/>
        <v>0</v>
      </c>
      <c r="M69" s="132"/>
      <c r="N69" s="67">
        <f t="shared" si="10"/>
        <v>0</v>
      </c>
      <c r="O69" s="67">
        <f t="shared" si="11"/>
        <v>0</v>
      </c>
      <c r="P69" s="4"/>
    </row>
    <row r="70" spans="2:16">
      <c r="B70" s="9" t="str">
        <f t="shared" si="8"/>
        <v/>
      </c>
      <c r="C70" s="62">
        <f>IF(D11="","-",+C69+1)</f>
        <v>2070</v>
      </c>
      <c r="D70" s="71">
        <f>IF(F69+SUM(E$17:E69)=D$10,F69,D$10-SUM(E$17:E69))</f>
        <v>0</v>
      </c>
      <c r="E70" s="69">
        <f t="shared" si="3"/>
        <v>0</v>
      </c>
      <c r="F70" s="68">
        <f t="shared" si="4"/>
        <v>0</v>
      </c>
      <c r="G70" s="70">
        <f t="shared" si="5"/>
        <v>0</v>
      </c>
      <c r="H70" s="52">
        <f t="shared" si="6"/>
        <v>0</v>
      </c>
      <c r="I70" s="65">
        <f t="shared" si="7"/>
        <v>0</v>
      </c>
      <c r="J70" s="65"/>
      <c r="K70" s="132"/>
      <c r="L70" s="67">
        <f t="shared" si="9"/>
        <v>0</v>
      </c>
      <c r="M70" s="132"/>
      <c r="N70" s="67">
        <f t="shared" si="10"/>
        <v>0</v>
      </c>
      <c r="O70" s="67">
        <f t="shared" si="11"/>
        <v>0</v>
      </c>
      <c r="P70" s="4"/>
    </row>
    <row r="71" spans="2:16">
      <c r="B71" s="9" t="str">
        <f t="shared" si="8"/>
        <v/>
      </c>
      <c r="C71" s="62">
        <f>IF(D11="","-",+C70+1)</f>
        <v>2071</v>
      </c>
      <c r="D71" s="71">
        <f>IF(F70+SUM(E$17:E70)=D$10,F70,D$10-SUM(E$17:E70))</f>
        <v>0</v>
      </c>
      <c r="E71" s="69">
        <f t="shared" si="3"/>
        <v>0</v>
      </c>
      <c r="F71" s="68">
        <f t="shared" si="4"/>
        <v>0</v>
      </c>
      <c r="G71" s="70">
        <f t="shared" si="5"/>
        <v>0</v>
      </c>
      <c r="H71" s="52">
        <f t="shared" si="6"/>
        <v>0</v>
      </c>
      <c r="I71" s="65">
        <f t="shared" si="7"/>
        <v>0</v>
      </c>
      <c r="J71" s="65"/>
      <c r="K71" s="132"/>
      <c r="L71" s="67">
        <f t="shared" si="9"/>
        <v>0</v>
      </c>
      <c r="M71" s="132"/>
      <c r="N71" s="67">
        <f t="shared" si="10"/>
        <v>0</v>
      </c>
      <c r="O71" s="67">
        <f t="shared" si="11"/>
        <v>0</v>
      </c>
      <c r="P71" s="4"/>
    </row>
    <row r="72" spans="2:16" ht="13.5" thickBot="1">
      <c r="B72" s="9" t="str">
        <f t="shared" si="8"/>
        <v/>
      </c>
      <c r="C72" s="72">
        <f>IF(D11="","-",+C71+1)</f>
        <v>2072</v>
      </c>
      <c r="D72" s="147">
        <f>IF(F71+SUM(E$17:E71)=D$10,F71,D$10-SUM(E$17:E71))</f>
        <v>0</v>
      </c>
      <c r="E72" s="74">
        <f>IF(+I$14&lt;F71,I$14,D72)</f>
        <v>0</v>
      </c>
      <c r="F72" s="73">
        <f>+D72-E72</f>
        <v>0</v>
      </c>
      <c r="G72" s="146">
        <f>(D72+F72)/2*I$12+E72</f>
        <v>0</v>
      </c>
      <c r="H72" s="35">
        <f>+(D72+F72)/2*I$13+E72</f>
        <v>0</v>
      </c>
      <c r="I72" s="75">
        <f>H72-G72</f>
        <v>0</v>
      </c>
      <c r="J72" s="65"/>
      <c r="K72" s="133"/>
      <c r="L72" s="76">
        <f t="shared" si="9"/>
        <v>0</v>
      </c>
      <c r="M72" s="133"/>
      <c r="N72" s="76">
        <f t="shared" si="10"/>
        <v>0</v>
      </c>
      <c r="O72" s="76">
        <f t="shared" si="11"/>
        <v>0</v>
      </c>
      <c r="P72" s="4"/>
    </row>
    <row r="73" spans="2:16">
      <c r="C73" s="63" t="s">
        <v>77</v>
      </c>
      <c r="D73" s="20"/>
      <c r="E73" s="20">
        <f>SUM(E17:E72)</f>
        <v>0</v>
      </c>
      <c r="F73" s="20"/>
      <c r="G73" s="20">
        <f>SUM(G17:G72)</f>
        <v>0</v>
      </c>
      <c r="H73" s="20">
        <f>SUM(H17:H72)</f>
        <v>0</v>
      </c>
      <c r="I73" s="20">
        <f>SUM(I17:I72)</f>
        <v>0</v>
      </c>
      <c r="J73" s="20"/>
      <c r="K73" s="20"/>
      <c r="L73" s="20"/>
      <c r="M73" s="20"/>
      <c r="N73" s="20"/>
      <c r="O73" s="4"/>
      <c r="P73" s="4"/>
    </row>
    <row r="74" spans="2:16">
      <c r="D74" s="2"/>
      <c r="E74" s="1"/>
      <c r="F74" s="1"/>
      <c r="G74" s="1"/>
      <c r="H74" s="3"/>
      <c r="I74" s="3"/>
      <c r="J74" s="20"/>
      <c r="K74" s="3"/>
      <c r="L74" s="3"/>
      <c r="M74" s="3"/>
      <c r="N74" s="3"/>
      <c r="O74" s="1"/>
      <c r="P74" s="1"/>
    </row>
    <row r="75" spans="2:16">
      <c r="C75" s="77" t="s">
        <v>106</v>
      </c>
      <c r="D75" s="2"/>
      <c r="E75" s="1"/>
      <c r="F75" s="1"/>
      <c r="G75" s="1"/>
      <c r="H75" s="3"/>
      <c r="I75" s="3"/>
      <c r="J75" s="20"/>
      <c r="K75" s="3"/>
      <c r="L75" s="3"/>
      <c r="M75" s="3"/>
      <c r="N75" s="3"/>
      <c r="O75" s="1"/>
      <c r="P75" s="1"/>
    </row>
    <row r="76" spans="2:16">
      <c r="C76" s="32" t="s">
        <v>78</v>
      </c>
      <c r="D76" s="2"/>
      <c r="E76" s="1"/>
      <c r="F76" s="1"/>
      <c r="G76" s="1"/>
      <c r="H76" s="3"/>
      <c r="I76" s="3"/>
      <c r="J76" s="20"/>
      <c r="K76" s="3"/>
      <c r="L76" s="3"/>
      <c r="M76" s="3"/>
      <c r="N76" s="3"/>
      <c r="O76" s="4"/>
      <c r="P76" s="4"/>
    </row>
    <row r="77" spans="2:16">
      <c r="C77" s="32" t="s">
        <v>79</v>
      </c>
      <c r="D77" s="63"/>
      <c r="E77" s="63"/>
      <c r="F77" s="63"/>
      <c r="G77" s="20"/>
      <c r="H77" s="20"/>
      <c r="I77" s="78"/>
      <c r="J77" s="78"/>
      <c r="K77" s="78"/>
      <c r="L77" s="78"/>
      <c r="M77" s="78"/>
      <c r="N77" s="78"/>
      <c r="O77" s="4"/>
      <c r="P77" s="4"/>
    </row>
    <row r="78" spans="2:16">
      <c r="C78" s="32"/>
      <c r="D78" s="63"/>
      <c r="E78" s="63"/>
      <c r="F78" s="63"/>
      <c r="G78" s="20"/>
      <c r="H78" s="20"/>
      <c r="I78" s="78"/>
      <c r="J78" s="78"/>
      <c r="K78" s="78"/>
      <c r="L78" s="78"/>
      <c r="M78" s="78"/>
      <c r="N78" s="78"/>
      <c r="O78" s="4"/>
      <c r="P78" s="1"/>
    </row>
    <row r="79" spans="2:16">
      <c r="B79" s="1"/>
      <c r="C79" s="10"/>
      <c r="D79" s="2"/>
      <c r="E79" s="1"/>
      <c r="F79" s="18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109"/>
      <c r="D80" s="2"/>
      <c r="E80" s="1"/>
      <c r="F80" s="18"/>
      <c r="G80" s="1"/>
      <c r="H80" s="3"/>
      <c r="I80" s="1"/>
      <c r="J80" s="4"/>
      <c r="K80" s="1"/>
      <c r="L80" s="1"/>
      <c r="M80" s="1"/>
      <c r="N80" s="1"/>
      <c r="P80" s="111" t="s">
        <v>144</v>
      </c>
    </row>
    <row r="81" spans="1:16">
      <c r="B81" s="1"/>
      <c r="C81" s="10"/>
      <c r="D81" s="2"/>
      <c r="E81" s="1"/>
      <c r="F81" s="18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10"/>
      <c r="D82" s="2"/>
      <c r="E82" s="1"/>
      <c r="F82" s="18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110" t="s">
        <v>146</v>
      </c>
      <c r="B83" s="1"/>
      <c r="C83" s="10"/>
      <c r="D83" s="2"/>
      <c r="E83" s="1"/>
      <c r="F83" s="15"/>
      <c r="G83" s="15"/>
      <c r="H83" s="1"/>
      <c r="I83" s="3"/>
      <c r="K83" s="7"/>
      <c r="L83" s="19"/>
      <c r="M83" s="19"/>
      <c r="P83" s="19" t="str">
        <f ca="1">P1</f>
        <v>PSO Project nk of 33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117" t="s">
        <v>151</v>
      </c>
    </row>
    <row r="85" spans="1:16" ht="18.75" thickBot="1">
      <c r="B85" s="5" t="s">
        <v>42</v>
      </c>
      <c r="C85" s="80" t="s">
        <v>91</v>
      </c>
      <c r="D85" s="2"/>
      <c r="E85" s="1"/>
      <c r="F85" s="1"/>
      <c r="G85" s="1"/>
      <c r="H85" s="1"/>
      <c r="I85" s="3"/>
      <c r="J85" s="3"/>
      <c r="K85" s="20"/>
      <c r="L85" s="3"/>
      <c r="M85" s="3"/>
      <c r="N85" s="3"/>
      <c r="O85" s="20"/>
      <c r="P85" s="1"/>
    </row>
    <row r="86" spans="1:16" ht="15.75" thickBot="1">
      <c r="C86" s="13"/>
      <c r="D86" s="2"/>
      <c r="E86" s="1"/>
      <c r="F86" s="1"/>
      <c r="G86" s="1"/>
      <c r="H86" s="1"/>
      <c r="I86" s="3"/>
      <c r="J86" s="3"/>
      <c r="K86" s="20"/>
      <c r="L86" s="118">
        <f>+J92</f>
        <v>2022</v>
      </c>
      <c r="M86" s="119" t="s">
        <v>8</v>
      </c>
      <c r="N86" s="120" t="s">
        <v>153</v>
      </c>
      <c r="O86" s="121" t="s">
        <v>10</v>
      </c>
      <c r="P86" s="1"/>
    </row>
    <row r="87" spans="1:16" ht="15">
      <c r="C87" s="107" t="s">
        <v>44</v>
      </c>
      <c r="D87" s="2"/>
      <c r="E87" s="1"/>
      <c r="F87" s="1"/>
      <c r="G87" s="1"/>
      <c r="H87" s="22"/>
      <c r="I87" s="1" t="s">
        <v>45</v>
      </c>
      <c r="J87" s="1"/>
      <c r="K87" s="122"/>
      <c r="L87" s="123" t="s">
        <v>154</v>
      </c>
      <c r="M87" s="81">
        <f>IF(J92&lt;D11,0,VLOOKUP(J92,C17:O72,9))</f>
        <v>0</v>
      </c>
      <c r="N87" s="81">
        <f>IF(J92&lt;D11,0,VLOOKUP(J92,C17:O72,11))</f>
        <v>0</v>
      </c>
      <c r="O87" s="82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27"/>
      <c r="J88" s="27"/>
      <c r="K88" s="124"/>
      <c r="L88" s="125" t="s">
        <v>155</v>
      </c>
      <c r="M88" s="83">
        <f>IF(J92&lt;D11,0,VLOOKUP(J92,C99:P154,6))</f>
        <v>0</v>
      </c>
      <c r="N88" s="83">
        <f>IF(J92&lt;D11,0,VLOOKUP(J92,C99:P154,7))</f>
        <v>0</v>
      </c>
      <c r="O88" s="84">
        <f>+N88-M88</f>
        <v>0</v>
      </c>
      <c r="P88" s="1"/>
    </row>
    <row r="89" spans="1:16" ht="13.5" thickBot="1">
      <c r="C89" s="32" t="s">
        <v>92</v>
      </c>
      <c r="D89" s="113" t="str">
        <f>+D7</f>
        <v>inset project name here</v>
      </c>
      <c r="E89" s="1"/>
      <c r="F89" s="1"/>
      <c r="G89" s="1"/>
      <c r="H89" s="1"/>
      <c r="I89" s="3"/>
      <c r="J89" s="3"/>
      <c r="K89" s="126"/>
      <c r="L89" s="127" t="s">
        <v>156</v>
      </c>
      <c r="M89" s="86">
        <f>+M88-M87</f>
        <v>0</v>
      </c>
      <c r="N89" s="86">
        <f>+N88-N87</f>
        <v>0</v>
      </c>
      <c r="O89" s="87">
        <f>+O88-O87</f>
        <v>0</v>
      </c>
      <c r="P89" s="1"/>
    </row>
    <row r="90" spans="1:16" ht="13.5" thickBot="1">
      <c r="C90" s="77"/>
      <c r="D90" s="79" t="str">
        <f>D8</f>
        <v>DOES NOT MEET SPP $100,000 MINIMUM INVESTMENT FOR REGIONAL BPU SHARING.</v>
      </c>
      <c r="E90" s="18"/>
      <c r="F90" s="18"/>
      <c r="G90" s="18"/>
      <c r="H90" s="37"/>
      <c r="I90" s="3"/>
      <c r="J90" s="3"/>
      <c r="K90" s="20"/>
      <c r="L90" s="3"/>
      <c r="M90" s="3"/>
      <c r="N90" s="3"/>
      <c r="O90" s="20"/>
      <c r="P90" s="1"/>
    </row>
    <row r="91" spans="1:16" ht="13.5" thickBot="1">
      <c r="A91" s="17"/>
      <c r="C91" s="88" t="s">
        <v>93</v>
      </c>
      <c r="D91" s="105">
        <f>+D9</f>
        <v>0</v>
      </c>
      <c r="E91" s="89"/>
      <c r="F91" s="89"/>
      <c r="G91" s="89"/>
      <c r="H91" s="89"/>
      <c r="I91" s="89"/>
      <c r="J91" s="89"/>
      <c r="K91" s="90"/>
      <c r="P91" s="42"/>
    </row>
    <row r="92" spans="1:16">
      <c r="C92" s="145" t="s">
        <v>226</v>
      </c>
      <c r="D92" s="101">
        <f>IF(D11=I10,0,D10)</f>
        <v>0</v>
      </c>
      <c r="E92" s="10" t="s">
        <v>94</v>
      </c>
      <c r="H92" s="44"/>
      <c r="I92" s="44"/>
      <c r="J92" s="45">
        <f>+'PSO.WS.G.BPU.ATRR.True-up'!M16</f>
        <v>2022</v>
      </c>
      <c r="K92" s="41"/>
      <c r="L92" s="20" t="s">
        <v>95</v>
      </c>
      <c r="P92" s="4"/>
    </row>
    <row r="93" spans="1:16">
      <c r="C93" s="46" t="s">
        <v>53</v>
      </c>
      <c r="D93" s="102">
        <v>2015</v>
      </c>
      <c r="E93" s="46" t="s">
        <v>54</v>
      </c>
      <c r="F93" s="44"/>
      <c r="G93" s="44"/>
      <c r="J93" s="48">
        <f>IF(H87="",0,'PSO.WS.G.BPU.ATRR.True-up'!$F$13)</f>
        <v>0</v>
      </c>
      <c r="K93" s="49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46" t="s">
        <v>55</v>
      </c>
      <c r="D94" s="101">
        <f>IF(D11=I10,"",D12)</f>
        <v>4</v>
      </c>
      <c r="E94" s="46" t="s">
        <v>56</v>
      </c>
      <c r="F94" s="44"/>
      <c r="G94" s="44"/>
      <c r="J94" s="50">
        <f>'PSO.WS.G.BPU.ATRR.True-up'!$F$81</f>
        <v>0.11379279303146381</v>
      </c>
      <c r="K94" s="51"/>
      <c r="L94" t="s">
        <v>96</v>
      </c>
      <c r="P94" s="4"/>
    </row>
    <row r="95" spans="1:16">
      <c r="C95" s="46" t="s">
        <v>58</v>
      </c>
      <c r="D95" s="48">
        <f>'PSO.WS.G.BPU.ATRR.True-up'!F$93</f>
        <v>41</v>
      </c>
      <c r="E95" s="46" t="s">
        <v>59</v>
      </c>
      <c r="F95" s="44"/>
      <c r="G95" s="44"/>
      <c r="J95" s="50">
        <f>IF(H87="",J94,'PSO.WS.G.BPU.ATRR.True-up'!$F$80)</f>
        <v>0.11379279303146381</v>
      </c>
      <c r="K95" s="11"/>
      <c r="L95" s="20" t="s">
        <v>60</v>
      </c>
      <c r="M95" s="11"/>
      <c r="N95" s="11"/>
      <c r="O95" s="11"/>
      <c r="P95" s="4"/>
    </row>
    <row r="96" spans="1:16" ht="13.5" thickBot="1">
      <c r="C96" s="46" t="s">
        <v>61</v>
      </c>
      <c r="D96" s="103" t="str">
        <f>+D14</f>
        <v>No</v>
      </c>
      <c r="E96" s="85" t="s">
        <v>63</v>
      </c>
      <c r="F96" s="91"/>
      <c r="G96" s="91"/>
      <c r="H96" s="92"/>
      <c r="I96" s="92"/>
      <c r="J96" s="35">
        <f>IF(D92=0,0,ROUND(D92/D95,0))</f>
        <v>0</v>
      </c>
      <c r="K96" s="20"/>
      <c r="L96" s="20"/>
      <c r="M96" s="20"/>
      <c r="N96" s="20"/>
      <c r="O96" s="20"/>
      <c r="P96" s="4"/>
    </row>
    <row r="97" spans="1:16" ht="38.25">
      <c r="A97" s="6"/>
      <c r="B97" s="6"/>
      <c r="C97" s="93" t="s">
        <v>50</v>
      </c>
      <c r="D97" s="94" t="s">
        <v>64</v>
      </c>
      <c r="E97" s="56" t="s">
        <v>65</v>
      </c>
      <c r="F97" s="56" t="s">
        <v>66</v>
      </c>
      <c r="G97" s="54" t="s">
        <v>97</v>
      </c>
      <c r="H97" s="144" t="s">
        <v>286</v>
      </c>
      <c r="I97" s="135" t="s">
        <v>287</v>
      </c>
      <c r="J97" s="93" t="s">
        <v>98</v>
      </c>
      <c r="K97" s="95"/>
      <c r="L97" s="56" t="s">
        <v>102</v>
      </c>
      <c r="M97" s="56" t="s">
        <v>99</v>
      </c>
      <c r="N97" s="56" t="s">
        <v>102</v>
      </c>
      <c r="O97" s="56" t="s">
        <v>99</v>
      </c>
      <c r="P97" s="56" t="s">
        <v>69</v>
      </c>
    </row>
    <row r="98" spans="1:16" ht="13.5" thickBot="1">
      <c r="C98" s="57" t="s">
        <v>70</v>
      </c>
      <c r="D98" s="96" t="s">
        <v>71</v>
      </c>
      <c r="E98" s="57" t="s">
        <v>72</v>
      </c>
      <c r="F98" s="57" t="s">
        <v>71</v>
      </c>
      <c r="G98" s="57" t="s">
        <v>71</v>
      </c>
      <c r="H98" s="128" t="s">
        <v>73</v>
      </c>
      <c r="I98" s="58" t="s">
        <v>74</v>
      </c>
      <c r="J98" s="59" t="s">
        <v>104</v>
      </c>
      <c r="K98" s="60"/>
      <c r="L98" s="61" t="s">
        <v>76</v>
      </c>
      <c r="M98" s="61" t="s">
        <v>76</v>
      </c>
      <c r="N98" s="61" t="s">
        <v>105</v>
      </c>
      <c r="O98" s="61" t="s">
        <v>105</v>
      </c>
      <c r="P98" s="61" t="s">
        <v>105</v>
      </c>
    </row>
    <row r="99" spans="1:16">
      <c r="C99" s="62">
        <f>IF(D93= "","-",D93)</f>
        <v>2015</v>
      </c>
      <c r="D99" s="63">
        <v>0</v>
      </c>
      <c r="E99" s="70">
        <f>IF(OR(D11=I10,D92&lt;100000),0,J$96/12*(12-D94))</f>
        <v>0</v>
      </c>
      <c r="F99" s="68">
        <f>IF(D93=C99,+D92-E99,+D99-E99)</f>
        <v>0</v>
      </c>
      <c r="G99" s="97">
        <f>+(F99+D99)/2</f>
        <v>0</v>
      </c>
      <c r="H99" s="97">
        <f>+J$94*G99+E99</f>
        <v>0</v>
      </c>
      <c r="I99" s="97">
        <f>+J$95*G99+E99</f>
        <v>0</v>
      </c>
      <c r="J99" s="67">
        <f>+I99-H99</f>
        <v>0</v>
      </c>
      <c r="K99" s="67"/>
      <c r="L99" s="131"/>
      <c r="M99" s="66">
        <f t="shared" ref="M99:M130" si="12">IF(L99&lt;&gt;0,+H99-L99,0)</f>
        <v>0</v>
      </c>
      <c r="N99" s="131"/>
      <c r="O99" s="66">
        <f t="shared" ref="O99:O130" si="13">IF(N99&lt;&gt;0,+I99-N99,0)</f>
        <v>0</v>
      </c>
      <c r="P99" s="66">
        <f t="shared" ref="P99:P130" si="14">+O99-M99</f>
        <v>0</v>
      </c>
    </row>
    <row r="100" spans="1:16">
      <c r="B100" s="9" t="str">
        <f>IF(D100=F99,"","IU")</f>
        <v/>
      </c>
      <c r="C100" s="62">
        <f>IF(D93="","-",+C99+1)</f>
        <v>2016</v>
      </c>
      <c r="D100" s="63">
        <f>IF(F99+SUM(E$99:E99)=D$92,F99,D$92-SUM(E$99:E99))</f>
        <v>0</v>
      </c>
      <c r="E100" s="69">
        <f>IF(+J$96&lt;F99,J$96,D100)</f>
        <v>0</v>
      </c>
      <c r="F100" s="68">
        <f>+D100-E100</f>
        <v>0</v>
      </c>
      <c r="G100" s="68">
        <f>+(F100+D100)/2</f>
        <v>0</v>
      </c>
      <c r="H100" s="130">
        <f t="shared" ref="H100:H154" si="15">+J$94*G100+E100</f>
        <v>0</v>
      </c>
      <c r="I100" s="139">
        <f t="shared" ref="I100:I154" si="16">+J$95*G100+E100</f>
        <v>0</v>
      </c>
      <c r="J100" s="67">
        <f t="shared" ref="J100:J130" si="17">+I100-H100</f>
        <v>0</v>
      </c>
      <c r="K100" s="67"/>
      <c r="L100" s="132"/>
      <c r="M100" s="67">
        <f t="shared" si="12"/>
        <v>0</v>
      </c>
      <c r="N100" s="132"/>
      <c r="O100" s="67">
        <f t="shared" si="13"/>
        <v>0</v>
      </c>
      <c r="P100" s="67">
        <f t="shared" si="14"/>
        <v>0</v>
      </c>
    </row>
    <row r="101" spans="1:16">
      <c r="B101" s="9" t="str">
        <f t="shared" ref="B101:B154" si="18">IF(D101=F100,"","IU")</f>
        <v/>
      </c>
      <c r="C101" s="62">
        <f>IF(D93="","-",+C100+1)</f>
        <v>2017</v>
      </c>
      <c r="D101" s="63">
        <f>IF(F100+SUM(E$99:E100)=D$92,F100,D$92-SUM(E$99:E100))</f>
        <v>0</v>
      </c>
      <c r="E101" s="69">
        <f t="shared" ref="E101:E154" si="19">IF(+J$96&lt;F100,J$96,D101)</f>
        <v>0</v>
      </c>
      <c r="F101" s="68">
        <f t="shared" ref="F101:F154" si="20">+D101-E101</f>
        <v>0</v>
      </c>
      <c r="G101" s="68">
        <f t="shared" ref="G101:G154" si="21">+(F101+D101)/2</f>
        <v>0</v>
      </c>
      <c r="H101" s="130">
        <f t="shared" si="15"/>
        <v>0</v>
      </c>
      <c r="I101" s="139">
        <f t="shared" si="16"/>
        <v>0</v>
      </c>
      <c r="J101" s="67">
        <f t="shared" si="17"/>
        <v>0</v>
      </c>
      <c r="K101" s="67"/>
      <c r="L101" s="132"/>
      <c r="M101" s="67">
        <f t="shared" si="12"/>
        <v>0</v>
      </c>
      <c r="N101" s="132"/>
      <c r="O101" s="67">
        <f t="shared" si="13"/>
        <v>0</v>
      </c>
      <c r="P101" s="67">
        <f t="shared" si="14"/>
        <v>0</v>
      </c>
    </row>
    <row r="102" spans="1:16">
      <c r="B102" s="9" t="str">
        <f t="shared" si="18"/>
        <v/>
      </c>
      <c r="C102" s="62">
        <f>IF(D93="","-",+C101+1)</f>
        <v>2018</v>
      </c>
      <c r="D102" s="63">
        <f>IF(F101+SUM(E$99:E101)=D$92,F101,D$92-SUM(E$99:E101))</f>
        <v>0</v>
      </c>
      <c r="E102" s="69">
        <f t="shared" si="19"/>
        <v>0</v>
      </c>
      <c r="F102" s="68">
        <f t="shared" si="20"/>
        <v>0</v>
      </c>
      <c r="G102" s="68">
        <f t="shared" si="21"/>
        <v>0</v>
      </c>
      <c r="H102" s="130">
        <f t="shared" si="15"/>
        <v>0</v>
      </c>
      <c r="I102" s="139">
        <f t="shared" si="16"/>
        <v>0</v>
      </c>
      <c r="J102" s="67">
        <f t="shared" si="17"/>
        <v>0</v>
      </c>
      <c r="K102" s="67"/>
      <c r="L102" s="132"/>
      <c r="M102" s="67">
        <f t="shared" si="12"/>
        <v>0</v>
      </c>
      <c r="N102" s="132"/>
      <c r="O102" s="67">
        <f t="shared" si="13"/>
        <v>0</v>
      </c>
      <c r="P102" s="67">
        <f t="shared" si="14"/>
        <v>0</v>
      </c>
    </row>
    <row r="103" spans="1:16">
      <c r="B103" s="9" t="str">
        <f t="shared" si="18"/>
        <v/>
      </c>
      <c r="C103" s="62">
        <f>IF(D93="","-",+C102+1)</f>
        <v>2019</v>
      </c>
      <c r="D103" s="63">
        <f>IF(F102+SUM(E$99:E102)=D$92,F102,D$92-SUM(E$99:E102))</f>
        <v>0</v>
      </c>
      <c r="E103" s="69">
        <f t="shared" si="19"/>
        <v>0</v>
      </c>
      <c r="F103" s="68">
        <f t="shared" si="20"/>
        <v>0</v>
      </c>
      <c r="G103" s="68">
        <f t="shared" si="21"/>
        <v>0</v>
      </c>
      <c r="H103" s="130">
        <f t="shared" si="15"/>
        <v>0</v>
      </c>
      <c r="I103" s="139">
        <f t="shared" si="16"/>
        <v>0</v>
      </c>
      <c r="J103" s="67">
        <f t="shared" si="17"/>
        <v>0</v>
      </c>
      <c r="K103" s="67"/>
      <c r="L103" s="132"/>
      <c r="M103" s="67">
        <f t="shared" si="12"/>
        <v>0</v>
      </c>
      <c r="N103" s="132"/>
      <c r="O103" s="67">
        <f t="shared" si="13"/>
        <v>0</v>
      </c>
      <c r="P103" s="67">
        <f t="shared" si="14"/>
        <v>0</v>
      </c>
    </row>
    <row r="104" spans="1:16">
      <c r="B104" s="9" t="str">
        <f t="shared" si="18"/>
        <v/>
      </c>
      <c r="C104" s="62">
        <f>IF(D93="","-",+C103+1)</f>
        <v>2020</v>
      </c>
      <c r="D104" s="63">
        <f>IF(F103+SUM(E$99:E103)=D$92,F103,D$92-SUM(E$99:E103))</f>
        <v>0</v>
      </c>
      <c r="E104" s="69">
        <f t="shared" si="19"/>
        <v>0</v>
      </c>
      <c r="F104" s="68">
        <f t="shared" si="20"/>
        <v>0</v>
      </c>
      <c r="G104" s="68">
        <f t="shared" si="21"/>
        <v>0</v>
      </c>
      <c r="H104" s="130">
        <f t="shared" si="15"/>
        <v>0</v>
      </c>
      <c r="I104" s="139">
        <f t="shared" si="16"/>
        <v>0</v>
      </c>
      <c r="J104" s="67">
        <f t="shared" si="17"/>
        <v>0</v>
      </c>
      <c r="K104" s="67"/>
      <c r="L104" s="132"/>
      <c r="M104" s="67">
        <f t="shared" si="12"/>
        <v>0</v>
      </c>
      <c r="N104" s="132"/>
      <c r="O104" s="67">
        <f t="shared" si="13"/>
        <v>0</v>
      </c>
      <c r="P104" s="67">
        <f t="shared" si="14"/>
        <v>0</v>
      </c>
    </row>
    <row r="105" spans="1:16">
      <c r="B105" s="9" t="str">
        <f t="shared" si="18"/>
        <v/>
      </c>
      <c r="C105" s="62">
        <f>IF(D93="","-",+C104+1)</f>
        <v>2021</v>
      </c>
      <c r="D105" s="63">
        <f>IF(F104+SUM(E$99:E104)=D$92,F104,D$92-SUM(E$99:E104))</f>
        <v>0</v>
      </c>
      <c r="E105" s="69">
        <f t="shared" si="19"/>
        <v>0</v>
      </c>
      <c r="F105" s="68">
        <f t="shared" si="20"/>
        <v>0</v>
      </c>
      <c r="G105" s="68">
        <f t="shared" si="21"/>
        <v>0</v>
      </c>
      <c r="H105" s="130">
        <f t="shared" si="15"/>
        <v>0</v>
      </c>
      <c r="I105" s="139">
        <f t="shared" si="16"/>
        <v>0</v>
      </c>
      <c r="J105" s="67">
        <f t="shared" si="17"/>
        <v>0</v>
      </c>
      <c r="K105" s="67"/>
      <c r="L105" s="132"/>
      <c r="M105" s="67">
        <f t="shared" si="12"/>
        <v>0</v>
      </c>
      <c r="N105" s="132"/>
      <c r="O105" s="67">
        <f t="shared" si="13"/>
        <v>0</v>
      </c>
      <c r="P105" s="67">
        <f t="shared" si="14"/>
        <v>0</v>
      </c>
    </row>
    <row r="106" spans="1:16">
      <c r="B106" s="9" t="str">
        <f t="shared" si="18"/>
        <v/>
      </c>
      <c r="C106" s="62">
        <f>IF(D93="","-",+C105+1)</f>
        <v>2022</v>
      </c>
      <c r="D106" s="63">
        <f>IF(F105+SUM(E$99:E105)=D$92,F105,D$92-SUM(E$99:E105))</f>
        <v>0</v>
      </c>
      <c r="E106" s="69">
        <f t="shared" si="19"/>
        <v>0</v>
      </c>
      <c r="F106" s="68">
        <f t="shared" si="20"/>
        <v>0</v>
      </c>
      <c r="G106" s="68">
        <f t="shared" si="21"/>
        <v>0</v>
      </c>
      <c r="H106" s="130">
        <f t="shared" si="15"/>
        <v>0</v>
      </c>
      <c r="I106" s="139">
        <f t="shared" si="16"/>
        <v>0</v>
      </c>
      <c r="J106" s="67">
        <f t="shared" si="17"/>
        <v>0</v>
      </c>
      <c r="K106" s="67"/>
      <c r="L106" s="132"/>
      <c r="M106" s="67">
        <f t="shared" si="12"/>
        <v>0</v>
      </c>
      <c r="N106" s="132"/>
      <c r="O106" s="67">
        <f t="shared" si="13"/>
        <v>0</v>
      </c>
      <c r="P106" s="67">
        <f t="shared" si="14"/>
        <v>0</v>
      </c>
    </row>
    <row r="107" spans="1:16">
      <c r="B107" s="9" t="str">
        <f t="shared" si="18"/>
        <v/>
      </c>
      <c r="C107" s="62">
        <f>IF(D93="","-",+C106+1)</f>
        <v>2023</v>
      </c>
      <c r="D107" s="63">
        <f>IF(F106+SUM(E$99:E106)=D$92,F106,D$92-SUM(E$99:E106))</f>
        <v>0</v>
      </c>
      <c r="E107" s="69">
        <f t="shared" si="19"/>
        <v>0</v>
      </c>
      <c r="F107" s="68">
        <f t="shared" si="20"/>
        <v>0</v>
      </c>
      <c r="G107" s="68">
        <f t="shared" si="21"/>
        <v>0</v>
      </c>
      <c r="H107" s="130">
        <f t="shared" si="15"/>
        <v>0</v>
      </c>
      <c r="I107" s="139">
        <f t="shared" si="16"/>
        <v>0</v>
      </c>
      <c r="J107" s="67">
        <f t="shared" si="17"/>
        <v>0</v>
      </c>
      <c r="K107" s="67"/>
      <c r="L107" s="132"/>
      <c r="M107" s="67">
        <f t="shared" si="12"/>
        <v>0</v>
      </c>
      <c r="N107" s="132"/>
      <c r="O107" s="67">
        <f t="shared" si="13"/>
        <v>0</v>
      </c>
      <c r="P107" s="67">
        <f t="shared" si="14"/>
        <v>0</v>
      </c>
    </row>
    <row r="108" spans="1:16">
      <c r="B108" s="9" t="str">
        <f t="shared" si="18"/>
        <v/>
      </c>
      <c r="C108" s="62">
        <f>IF(D93="","-",+C107+1)</f>
        <v>2024</v>
      </c>
      <c r="D108" s="63">
        <f>IF(F107+SUM(E$99:E107)=D$92,F107,D$92-SUM(E$99:E107))</f>
        <v>0</v>
      </c>
      <c r="E108" s="69">
        <f t="shared" si="19"/>
        <v>0</v>
      </c>
      <c r="F108" s="68">
        <f t="shared" si="20"/>
        <v>0</v>
      </c>
      <c r="G108" s="68">
        <f t="shared" si="21"/>
        <v>0</v>
      </c>
      <c r="H108" s="130">
        <f t="shared" si="15"/>
        <v>0</v>
      </c>
      <c r="I108" s="139">
        <f t="shared" si="16"/>
        <v>0</v>
      </c>
      <c r="J108" s="67">
        <f t="shared" si="17"/>
        <v>0</v>
      </c>
      <c r="K108" s="67"/>
      <c r="L108" s="132"/>
      <c r="M108" s="67">
        <f t="shared" si="12"/>
        <v>0</v>
      </c>
      <c r="N108" s="132"/>
      <c r="O108" s="67">
        <f t="shared" si="13"/>
        <v>0</v>
      </c>
      <c r="P108" s="67">
        <f t="shared" si="14"/>
        <v>0</v>
      </c>
    </row>
    <row r="109" spans="1:16">
      <c r="B109" s="9" t="str">
        <f t="shared" si="18"/>
        <v/>
      </c>
      <c r="C109" s="62">
        <f>IF(D93="","-",+C108+1)</f>
        <v>2025</v>
      </c>
      <c r="D109" s="63">
        <f>IF(F108+SUM(E$99:E108)=D$92,F108,D$92-SUM(E$99:E108))</f>
        <v>0</v>
      </c>
      <c r="E109" s="69">
        <f t="shared" si="19"/>
        <v>0</v>
      </c>
      <c r="F109" s="68">
        <f t="shared" si="20"/>
        <v>0</v>
      </c>
      <c r="G109" s="68">
        <f t="shared" si="21"/>
        <v>0</v>
      </c>
      <c r="H109" s="130">
        <f t="shared" si="15"/>
        <v>0</v>
      </c>
      <c r="I109" s="139">
        <f t="shared" si="16"/>
        <v>0</v>
      </c>
      <c r="J109" s="67">
        <f t="shared" si="17"/>
        <v>0</v>
      </c>
      <c r="K109" s="67"/>
      <c r="L109" s="132"/>
      <c r="M109" s="67">
        <f t="shared" si="12"/>
        <v>0</v>
      </c>
      <c r="N109" s="132"/>
      <c r="O109" s="67">
        <f t="shared" si="13"/>
        <v>0</v>
      </c>
      <c r="P109" s="67">
        <f t="shared" si="14"/>
        <v>0</v>
      </c>
    </row>
    <row r="110" spans="1:16">
      <c r="B110" s="9" t="str">
        <f t="shared" si="18"/>
        <v/>
      </c>
      <c r="C110" s="62">
        <f>IF(D93="","-",+C109+1)</f>
        <v>2026</v>
      </c>
      <c r="D110" s="63">
        <f>IF(F109+SUM(E$99:E109)=D$92,F109,D$92-SUM(E$99:E109))</f>
        <v>0</v>
      </c>
      <c r="E110" s="69">
        <f t="shared" si="19"/>
        <v>0</v>
      </c>
      <c r="F110" s="68">
        <f t="shared" si="20"/>
        <v>0</v>
      </c>
      <c r="G110" s="68">
        <f t="shared" si="21"/>
        <v>0</v>
      </c>
      <c r="H110" s="130">
        <f t="shared" si="15"/>
        <v>0</v>
      </c>
      <c r="I110" s="139">
        <f t="shared" si="16"/>
        <v>0</v>
      </c>
      <c r="J110" s="67">
        <f t="shared" si="17"/>
        <v>0</v>
      </c>
      <c r="K110" s="67"/>
      <c r="L110" s="132"/>
      <c r="M110" s="67">
        <f t="shared" si="12"/>
        <v>0</v>
      </c>
      <c r="N110" s="132"/>
      <c r="O110" s="67">
        <f t="shared" si="13"/>
        <v>0</v>
      </c>
      <c r="P110" s="67">
        <f t="shared" si="14"/>
        <v>0</v>
      </c>
    </row>
    <row r="111" spans="1:16">
      <c r="B111" s="9" t="str">
        <f t="shared" si="18"/>
        <v/>
      </c>
      <c r="C111" s="62">
        <f>IF(D93="","-",+C110+1)</f>
        <v>2027</v>
      </c>
      <c r="D111" s="63">
        <f>IF(F110+SUM(E$99:E110)=D$92,F110,D$92-SUM(E$99:E110))</f>
        <v>0</v>
      </c>
      <c r="E111" s="69">
        <f t="shared" si="19"/>
        <v>0</v>
      </c>
      <c r="F111" s="68">
        <f t="shared" si="20"/>
        <v>0</v>
      </c>
      <c r="G111" s="68">
        <f t="shared" si="21"/>
        <v>0</v>
      </c>
      <c r="H111" s="130">
        <f t="shared" si="15"/>
        <v>0</v>
      </c>
      <c r="I111" s="139">
        <f t="shared" si="16"/>
        <v>0</v>
      </c>
      <c r="J111" s="67">
        <f t="shared" si="17"/>
        <v>0</v>
      </c>
      <c r="K111" s="67"/>
      <c r="L111" s="132"/>
      <c r="M111" s="67">
        <f t="shared" si="12"/>
        <v>0</v>
      </c>
      <c r="N111" s="132"/>
      <c r="O111" s="67">
        <f t="shared" si="13"/>
        <v>0</v>
      </c>
      <c r="P111" s="67">
        <f t="shared" si="14"/>
        <v>0</v>
      </c>
    </row>
    <row r="112" spans="1:16">
      <c r="B112" s="9" t="str">
        <f t="shared" si="18"/>
        <v/>
      </c>
      <c r="C112" s="62">
        <f>IF(D93="","-",+C111+1)</f>
        <v>2028</v>
      </c>
      <c r="D112" s="63">
        <f>IF(F111+SUM(E$99:E111)=D$92,F111,D$92-SUM(E$99:E111))</f>
        <v>0</v>
      </c>
      <c r="E112" s="69">
        <f t="shared" si="19"/>
        <v>0</v>
      </c>
      <c r="F112" s="68">
        <f t="shared" si="20"/>
        <v>0</v>
      </c>
      <c r="G112" s="68">
        <f t="shared" si="21"/>
        <v>0</v>
      </c>
      <c r="H112" s="130">
        <f t="shared" si="15"/>
        <v>0</v>
      </c>
      <c r="I112" s="139">
        <f t="shared" si="16"/>
        <v>0</v>
      </c>
      <c r="J112" s="67">
        <f t="shared" si="17"/>
        <v>0</v>
      </c>
      <c r="K112" s="67"/>
      <c r="L112" s="132"/>
      <c r="M112" s="67">
        <f t="shared" si="12"/>
        <v>0</v>
      </c>
      <c r="N112" s="132"/>
      <c r="O112" s="67">
        <f t="shared" si="13"/>
        <v>0</v>
      </c>
      <c r="P112" s="67">
        <f t="shared" si="14"/>
        <v>0</v>
      </c>
    </row>
    <row r="113" spans="2:16">
      <c r="B113" s="9" t="str">
        <f t="shared" si="18"/>
        <v/>
      </c>
      <c r="C113" s="62">
        <f>IF(D93="","-",+C112+1)</f>
        <v>2029</v>
      </c>
      <c r="D113" s="63">
        <f>IF(F112+SUM(E$99:E112)=D$92,F112,D$92-SUM(E$99:E112))</f>
        <v>0</v>
      </c>
      <c r="E113" s="69">
        <f t="shared" si="19"/>
        <v>0</v>
      </c>
      <c r="F113" s="68">
        <f t="shared" si="20"/>
        <v>0</v>
      </c>
      <c r="G113" s="68">
        <f t="shared" si="21"/>
        <v>0</v>
      </c>
      <c r="H113" s="130">
        <f t="shared" si="15"/>
        <v>0</v>
      </c>
      <c r="I113" s="139">
        <f t="shared" si="16"/>
        <v>0</v>
      </c>
      <c r="J113" s="67">
        <f t="shared" si="17"/>
        <v>0</v>
      </c>
      <c r="K113" s="67"/>
      <c r="L113" s="132"/>
      <c r="M113" s="67">
        <f t="shared" si="12"/>
        <v>0</v>
      </c>
      <c r="N113" s="132"/>
      <c r="O113" s="67">
        <f t="shared" si="13"/>
        <v>0</v>
      </c>
      <c r="P113" s="67">
        <f t="shared" si="14"/>
        <v>0</v>
      </c>
    </row>
    <row r="114" spans="2:16">
      <c r="B114" s="9" t="str">
        <f t="shared" si="18"/>
        <v/>
      </c>
      <c r="C114" s="62">
        <f>IF(D93="","-",+C113+1)</f>
        <v>2030</v>
      </c>
      <c r="D114" s="63">
        <f>IF(F113+SUM(E$99:E113)=D$92,F113,D$92-SUM(E$99:E113))</f>
        <v>0</v>
      </c>
      <c r="E114" s="69">
        <f t="shared" si="19"/>
        <v>0</v>
      </c>
      <c r="F114" s="68">
        <f t="shared" si="20"/>
        <v>0</v>
      </c>
      <c r="G114" s="68">
        <f t="shared" si="21"/>
        <v>0</v>
      </c>
      <c r="H114" s="130">
        <f t="shared" si="15"/>
        <v>0</v>
      </c>
      <c r="I114" s="139">
        <f t="shared" si="16"/>
        <v>0</v>
      </c>
      <c r="J114" s="67">
        <f t="shared" si="17"/>
        <v>0</v>
      </c>
      <c r="K114" s="67"/>
      <c r="L114" s="132"/>
      <c r="M114" s="67">
        <f t="shared" si="12"/>
        <v>0</v>
      </c>
      <c r="N114" s="132"/>
      <c r="O114" s="67">
        <f t="shared" si="13"/>
        <v>0</v>
      </c>
      <c r="P114" s="67">
        <f t="shared" si="14"/>
        <v>0</v>
      </c>
    </row>
    <row r="115" spans="2:16">
      <c r="B115" s="9" t="str">
        <f t="shared" si="18"/>
        <v/>
      </c>
      <c r="C115" s="62">
        <f>IF(D93="","-",+C114+1)</f>
        <v>2031</v>
      </c>
      <c r="D115" s="63">
        <f>IF(F114+SUM(E$99:E114)=D$92,F114,D$92-SUM(E$99:E114))</f>
        <v>0</v>
      </c>
      <c r="E115" s="69">
        <f t="shared" si="19"/>
        <v>0</v>
      </c>
      <c r="F115" s="68">
        <f t="shared" si="20"/>
        <v>0</v>
      </c>
      <c r="G115" s="68">
        <f t="shared" si="21"/>
        <v>0</v>
      </c>
      <c r="H115" s="130">
        <f t="shared" si="15"/>
        <v>0</v>
      </c>
      <c r="I115" s="139">
        <f t="shared" si="16"/>
        <v>0</v>
      </c>
      <c r="J115" s="67">
        <f t="shared" si="17"/>
        <v>0</v>
      </c>
      <c r="K115" s="67"/>
      <c r="L115" s="132"/>
      <c r="M115" s="67">
        <f t="shared" si="12"/>
        <v>0</v>
      </c>
      <c r="N115" s="132"/>
      <c r="O115" s="67">
        <f t="shared" si="13"/>
        <v>0</v>
      </c>
      <c r="P115" s="67">
        <f t="shared" si="14"/>
        <v>0</v>
      </c>
    </row>
    <row r="116" spans="2:16">
      <c r="B116" s="9" t="str">
        <f t="shared" si="18"/>
        <v/>
      </c>
      <c r="C116" s="62">
        <f>IF(D93="","-",+C115+1)</f>
        <v>2032</v>
      </c>
      <c r="D116" s="63">
        <f>IF(F115+SUM(E$99:E115)=D$92,F115,D$92-SUM(E$99:E115))</f>
        <v>0</v>
      </c>
      <c r="E116" s="69">
        <f t="shared" si="19"/>
        <v>0</v>
      </c>
      <c r="F116" s="68">
        <f t="shared" si="20"/>
        <v>0</v>
      </c>
      <c r="G116" s="68">
        <f t="shared" si="21"/>
        <v>0</v>
      </c>
      <c r="H116" s="130">
        <f t="shared" si="15"/>
        <v>0</v>
      </c>
      <c r="I116" s="139">
        <f t="shared" si="16"/>
        <v>0</v>
      </c>
      <c r="J116" s="67">
        <f t="shared" si="17"/>
        <v>0</v>
      </c>
      <c r="K116" s="67"/>
      <c r="L116" s="132"/>
      <c r="M116" s="67">
        <f t="shared" si="12"/>
        <v>0</v>
      </c>
      <c r="N116" s="132"/>
      <c r="O116" s="67">
        <f t="shared" si="13"/>
        <v>0</v>
      </c>
      <c r="P116" s="67">
        <f t="shared" si="14"/>
        <v>0</v>
      </c>
    </row>
    <row r="117" spans="2:16">
      <c r="B117" s="9" t="str">
        <f t="shared" si="18"/>
        <v/>
      </c>
      <c r="C117" s="62">
        <f>IF(D93="","-",+C116+1)</f>
        <v>2033</v>
      </c>
      <c r="D117" s="63">
        <f>IF(F116+SUM(E$99:E116)=D$92,F116,D$92-SUM(E$99:E116))</f>
        <v>0</v>
      </c>
      <c r="E117" s="69">
        <f t="shared" si="19"/>
        <v>0</v>
      </c>
      <c r="F117" s="68">
        <f t="shared" si="20"/>
        <v>0</v>
      </c>
      <c r="G117" s="68">
        <f t="shared" si="21"/>
        <v>0</v>
      </c>
      <c r="H117" s="130">
        <f t="shared" si="15"/>
        <v>0</v>
      </c>
      <c r="I117" s="139">
        <f t="shared" si="16"/>
        <v>0</v>
      </c>
      <c r="J117" s="67">
        <f t="shared" si="17"/>
        <v>0</v>
      </c>
      <c r="K117" s="67"/>
      <c r="L117" s="132"/>
      <c r="M117" s="67">
        <f t="shared" si="12"/>
        <v>0</v>
      </c>
      <c r="N117" s="132"/>
      <c r="O117" s="67">
        <f t="shared" si="13"/>
        <v>0</v>
      </c>
      <c r="P117" s="67">
        <f t="shared" si="14"/>
        <v>0</v>
      </c>
    </row>
    <row r="118" spans="2:16">
      <c r="B118" s="9" t="str">
        <f t="shared" si="18"/>
        <v/>
      </c>
      <c r="C118" s="62">
        <f>IF(D93="","-",+C117+1)</f>
        <v>2034</v>
      </c>
      <c r="D118" s="63">
        <f>IF(F117+SUM(E$99:E117)=D$92,F117,D$92-SUM(E$99:E117))</f>
        <v>0</v>
      </c>
      <c r="E118" s="69">
        <f t="shared" si="19"/>
        <v>0</v>
      </c>
      <c r="F118" s="68">
        <f t="shared" si="20"/>
        <v>0</v>
      </c>
      <c r="G118" s="68">
        <f t="shared" si="21"/>
        <v>0</v>
      </c>
      <c r="H118" s="130">
        <f t="shared" si="15"/>
        <v>0</v>
      </c>
      <c r="I118" s="139">
        <f t="shared" si="16"/>
        <v>0</v>
      </c>
      <c r="J118" s="67">
        <f t="shared" si="17"/>
        <v>0</v>
      </c>
      <c r="K118" s="67"/>
      <c r="L118" s="132"/>
      <c r="M118" s="67">
        <f t="shared" si="12"/>
        <v>0</v>
      </c>
      <c r="N118" s="132"/>
      <c r="O118" s="67">
        <f t="shared" si="13"/>
        <v>0</v>
      </c>
      <c r="P118" s="67">
        <f t="shared" si="14"/>
        <v>0</v>
      </c>
    </row>
    <row r="119" spans="2:16">
      <c r="B119" s="9" t="str">
        <f t="shared" si="18"/>
        <v/>
      </c>
      <c r="C119" s="62">
        <f>IF(D93="","-",+C118+1)</f>
        <v>2035</v>
      </c>
      <c r="D119" s="63">
        <f>IF(F118+SUM(E$99:E118)=D$92,F118,D$92-SUM(E$99:E118))</f>
        <v>0</v>
      </c>
      <c r="E119" s="69">
        <f t="shared" si="19"/>
        <v>0</v>
      </c>
      <c r="F119" s="68">
        <f t="shared" si="20"/>
        <v>0</v>
      </c>
      <c r="G119" s="68">
        <f t="shared" si="21"/>
        <v>0</v>
      </c>
      <c r="H119" s="130">
        <f t="shared" si="15"/>
        <v>0</v>
      </c>
      <c r="I119" s="139">
        <f t="shared" si="16"/>
        <v>0</v>
      </c>
      <c r="J119" s="67">
        <f t="shared" si="17"/>
        <v>0</v>
      </c>
      <c r="K119" s="67"/>
      <c r="L119" s="132"/>
      <c r="M119" s="67">
        <f t="shared" si="12"/>
        <v>0</v>
      </c>
      <c r="N119" s="132"/>
      <c r="O119" s="67">
        <f t="shared" si="13"/>
        <v>0</v>
      </c>
      <c r="P119" s="67">
        <f t="shared" si="14"/>
        <v>0</v>
      </c>
    </row>
    <row r="120" spans="2:16">
      <c r="B120" s="9" t="str">
        <f t="shared" si="18"/>
        <v/>
      </c>
      <c r="C120" s="62">
        <f>IF(D93="","-",+C119+1)</f>
        <v>2036</v>
      </c>
      <c r="D120" s="63">
        <f>IF(F119+SUM(E$99:E119)=D$92,F119,D$92-SUM(E$99:E119))</f>
        <v>0</v>
      </c>
      <c r="E120" s="69">
        <f t="shared" si="19"/>
        <v>0</v>
      </c>
      <c r="F120" s="68">
        <f t="shared" si="20"/>
        <v>0</v>
      </c>
      <c r="G120" s="68">
        <f t="shared" si="21"/>
        <v>0</v>
      </c>
      <c r="H120" s="130">
        <f t="shared" si="15"/>
        <v>0</v>
      </c>
      <c r="I120" s="139">
        <f t="shared" si="16"/>
        <v>0</v>
      </c>
      <c r="J120" s="67">
        <f t="shared" si="17"/>
        <v>0</v>
      </c>
      <c r="K120" s="67"/>
      <c r="L120" s="132"/>
      <c r="M120" s="67">
        <f t="shared" si="12"/>
        <v>0</v>
      </c>
      <c r="N120" s="132"/>
      <c r="O120" s="67">
        <f t="shared" si="13"/>
        <v>0</v>
      </c>
      <c r="P120" s="67">
        <f t="shared" si="14"/>
        <v>0</v>
      </c>
    </row>
    <row r="121" spans="2:16">
      <c r="B121" s="9" t="str">
        <f t="shared" si="18"/>
        <v/>
      </c>
      <c r="C121" s="62">
        <f>IF(D93="","-",+C120+1)</f>
        <v>2037</v>
      </c>
      <c r="D121" s="63">
        <f>IF(F120+SUM(E$99:E120)=D$92,F120,D$92-SUM(E$99:E120))</f>
        <v>0</v>
      </c>
      <c r="E121" s="69">
        <f t="shared" si="19"/>
        <v>0</v>
      </c>
      <c r="F121" s="68">
        <f t="shared" si="20"/>
        <v>0</v>
      </c>
      <c r="G121" s="68">
        <f t="shared" si="21"/>
        <v>0</v>
      </c>
      <c r="H121" s="130">
        <f t="shared" si="15"/>
        <v>0</v>
      </c>
      <c r="I121" s="139">
        <f t="shared" si="16"/>
        <v>0</v>
      </c>
      <c r="J121" s="67">
        <f t="shared" si="17"/>
        <v>0</v>
      </c>
      <c r="K121" s="67"/>
      <c r="L121" s="132"/>
      <c r="M121" s="67">
        <f t="shared" si="12"/>
        <v>0</v>
      </c>
      <c r="N121" s="132"/>
      <c r="O121" s="67">
        <f t="shared" si="13"/>
        <v>0</v>
      </c>
      <c r="P121" s="67">
        <f t="shared" si="14"/>
        <v>0</v>
      </c>
    </row>
    <row r="122" spans="2:16">
      <c r="B122" s="9" t="str">
        <f t="shared" si="18"/>
        <v/>
      </c>
      <c r="C122" s="62">
        <f>IF(D93="","-",+C121+1)</f>
        <v>2038</v>
      </c>
      <c r="D122" s="63">
        <f>IF(F121+SUM(E$99:E121)=D$92,F121,D$92-SUM(E$99:E121))</f>
        <v>0</v>
      </c>
      <c r="E122" s="69">
        <f t="shared" si="19"/>
        <v>0</v>
      </c>
      <c r="F122" s="68">
        <f t="shared" si="20"/>
        <v>0</v>
      </c>
      <c r="G122" s="68">
        <f t="shared" si="21"/>
        <v>0</v>
      </c>
      <c r="H122" s="130">
        <f t="shared" si="15"/>
        <v>0</v>
      </c>
      <c r="I122" s="139">
        <f t="shared" si="16"/>
        <v>0</v>
      </c>
      <c r="J122" s="67">
        <f t="shared" si="17"/>
        <v>0</v>
      </c>
      <c r="K122" s="67"/>
      <c r="L122" s="132"/>
      <c r="M122" s="67">
        <f t="shared" si="12"/>
        <v>0</v>
      </c>
      <c r="N122" s="132"/>
      <c r="O122" s="67">
        <f t="shared" si="13"/>
        <v>0</v>
      </c>
      <c r="P122" s="67">
        <f t="shared" si="14"/>
        <v>0</v>
      </c>
    </row>
    <row r="123" spans="2:16">
      <c r="B123" s="9" t="str">
        <f t="shared" si="18"/>
        <v/>
      </c>
      <c r="C123" s="62">
        <f>IF(D93="","-",+C122+1)</f>
        <v>2039</v>
      </c>
      <c r="D123" s="63">
        <f>IF(F122+SUM(E$99:E122)=D$92,F122,D$92-SUM(E$99:E122))</f>
        <v>0</v>
      </c>
      <c r="E123" s="69">
        <f t="shared" si="19"/>
        <v>0</v>
      </c>
      <c r="F123" s="68">
        <f t="shared" si="20"/>
        <v>0</v>
      </c>
      <c r="G123" s="68">
        <f t="shared" si="21"/>
        <v>0</v>
      </c>
      <c r="H123" s="130">
        <f t="shared" si="15"/>
        <v>0</v>
      </c>
      <c r="I123" s="139">
        <f t="shared" si="16"/>
        <v>0</v>
      </c>
      <c r="J123" s="67">
        <f t="shared" si="17"/>
        <v>0</v>
      </c>
      <c r="K123" s="67"/>
      <c r="L123" s="132"/>
      <c r="M123" s="67">
        <f t="shared" si="12"/>
        <v>0</v>
      </c>
      <c r="N123" s="132"/>
      <c r="O123" s="67">
        <f t="shared" si="13"/>
        <v>0</v>
      </c>
      <c r="P123" s="67">
        <f t="shared" si="14"/>
        <v>0</v>
      </c>
    </row>
    <row r="124" spans="2:16">
      <c r="B124" s="9" t="str">
        <f t="shared" si="18"/>
        <v/>
      </c>
      <c r="C124" s="62">
        <f>IF(D93="","-",+C123+1)</f>
        <v>2040</v>
      </c>
      <c r="D124" s="63">
        <f>IF(F123+SUM(E$99:E123)=D$92,F123,D$92-SUM(E$99:E123))</f>
        <v>0</v>
      </c>
      <c r="E124" s="69">
        <f t="shared" si="19"/>
        <v>0</v>
      </c>
      <c r="F124" s="68">
        <f t="shared" si="20"/>
        <v>0</v>
      </c>
      <c r="G124" s="68">
        <f t="shared" si="21"/>
        <v>0</v>
      </c>
      <c r="H124" s="130">
        <f t="shared" si="15"/>
        <v>0</v>
      </c>
      <c r="I124" s="139">
        <f t="shared" si="16"/>
        <v>0</v>
      </c>
      <c r="J124" s="67">
        <f t="shared" si="17"/>
        <v>0</v>
      </c>
      <c r="K124" s="67"/>
      <c r="L124" s="132"/>
      <c r="M124" s="67">
        <f t="shared" si="12"/>
        <v>0</v>
      </c>
      <c r="N124" s="132"/>
      <c r="O124" s="67">
        <f t="shared" si="13"/>
        <v>0</v>
      </c>
      <c r="P124" s="67">
        <f t="shared" si="14"/>
        <v>0</v>
      </c>
    </row>
    <row r="125" spans="2:16">
      <c r="B125" s="9" t="str">
        <f t="shared" si="18"/>
        <v/>
      </c>
      <c r="C125" s="62">
        <f>IF(D93="","-",+C124+1)</f>
        <v>2041</v>
      </c>
      <c r="D125" s="63">
        <f>IF(F124+SUM(E$99:E124)=D$92,F124,D$92-SUM(E$99:E124))</f>
        <v>0</v>
      </c>
      <c r="E125" s="69">
        <f t="shared" si="19"/>
        <v>0</v>
      </c>
      <c r="F125" s="68">
        <f t="shared" si="20"/>
        <v>0</v>
      </c>
      <c r="G125" s="68">
        <f t="shared" si="21"/>
        <v>0</v>
      </c>
      <c r="H125" s="130">
        <f t="shared" si="15"/>
        <v>0</v>
      </c>
      <c r="I125" s="139">
        <f t="shared" si="16"/>
        <v>0</v>
      </c>
      <c r="J125" s="67">
        <f t="shared" si="17"/>
        <v>0</v>
      </c>
      <c r="K125" s="67"/>
      <c r="L125" s="132"/>
      <c r="M125" s="67">
        <f t="shared" si="12"/>
        <v>0</v>
      </c>
      <c r="N125" s="132"/>
      <c r="O125" s="67">
        <f t="shared" si="13"/>
        <v>0</v>
      </c>
      <c r="P125" s="67">
        <f t="shared" si="14"/>
        <v>0</v>
      </c>
    </row>
    <row r="126" spans="2:16">
      <c r="B126" s="9" t="str">
        <f t="shared" si="18"/>
        <v/>
      </c>
      <c r="C126" s="62">
        <f>IF(D93="","-",+C125+1)</f>
        <v>2042</v>
      </c>
      <c r="D126" s="63">
        <f>IF(F125+SUM(E$99:E125)=D$92,F125,D$92-SUM(E$99:E125))</f>
        <v>0</v>
      </c>
      <c r="E126" s="69">
        <f t="shared" si="19"/>
        <v>0</v>
      </c>
      <c r="F126" s="68">
        <f t="shared" si="20"/>
        <v>0</v>
      </c>
      <c r="G126" s="68">
        <f t="shared" si="21"/>
        <v>0</v>
      </c>
      <c r="H126" s="130">
        <f t="shared" si="15"/>
        <v>0</v>
      </c>
      <c r="I126" s="139">
        <f t="shared" si="16"/>
        <v>0</v>
      </c>
      <c r="J126" s="67">
        <f t="shared" si="17"/>
        <v>0</v>
      </c>
      <c r="K126" s="67"/>
      <c r="L126" s="132"/>
      <c r="M126" s="67">
        <f t="shared" si="12"/>
        <v>0</v>
      </c>
      <c r="N126" s="132"/>
      <c r="O126" s="67">
        <f t="shared" si="13"/>
        <v>0</v>
      </c>
      <c r="P126" s="67">
        <f t="shared" si="14"/>
        <v>0</v>
      </c>
    </row>
    <row r="127" spans="2:16">
      <c r="B127" s="9" t="str">
        <f t="shared" si="18"/>
        <v/>
      </c>
      <c r="C127" s="62">
        <f>IF(D93="","-",+C126+1)</f>
        <v>2043</v>
      </c>
      <c r="D127" s="63">
        <f>IF(F126+SUM(E$99:E126)=D$92,F126,D$92-SUM(E$99:E126))</f>
        <v>0</v>
      </c>
      <c r="E127" s="69">
        <f t="shared" si="19"/>
        <v>0</v>
      </c>
      <c r="F127" s="68">
        <f t="shared" si="20"/>
        <v>0</v>
      </c>
      <c r="G127" s="68">
        <f t="shared" si="21"/>
        <v>0</v>
      </c>
      <c r="H127" s="130">
        <f t="shared" si="15"/>
        <v>0</v>
      </c>
      <c r="I127" s="139">
        <f t="shared" si="16"/>
        <v>0</v>
      </c>
      <c r="J127" s="67">
        <f t="shared" si="17"/>
        <v>0</v>
      </c>
      <c r="K127" s="67"/>
      <c r="L127" s="132"/>
      <c r="M127" s="67">
        <f t="shared" si="12"/>
        <v>0</v>
      </c>
      <c r="N127" s="132"/>
      <c r="O127" s="67">
        <f t="shared" si="13"/>
        <v>0</v>
      </c>
      <c r="P127" s="67">
        <f t="shared" si="14"/>
        <v>0</v>
      </c>
    </row>
    <row r="128" spans="2:16">
      <c r="B128" s="9" t="str">
        <f t="shared" si="18"/>
        <v/>
      </c>
      <c r="C128" s="62">
        <f>IF(D93="","-",+C127+1)</f>
        <v>2044</v>
      </c>
      <c r="D128" s="63">
        <f>IF(F127+SUM(E$99:E127)=D$92,F127,D$92-SUM(E$99:E127))</f>
        <v>0</v>
      </c>
      <c r="E128" s="69">
        <f t="shared" si="19"/>
        <v>0</v>
      </c>
      <c r="F128" s="68">
        <f t="shared" si="20"/>
        <v>0</v>
      </c>
      <c r="G128" s="68">
        <f t="shared" si="21"/>
        <v>0</v>
      </c>
      <c r="H128" s="130">
        <f t="shared" si="15"/>
        <v>0</v>
      </c>
      <c r="I128" s="139">
        <f t="shared" si="16"/>
        <v>0</v>
      </c>
      <c r="J128" s="67">
        <f t="shared" si="17"/>
        <v>0</v>
      </c>
      <c r="K128" s="67"/>
      <c r="L128" s="132"/>
      <c r="M128" s="67">
        <f t="shared" si="12"/>
        <v>0</v>
      </c>
      <c r="N128" s="132"/>
      <c r="O128" s="67">
        <f t="shared" si="13"/>
        <v>0</v>
      </c>
      <c r="P128" s="67">
        <f t="shared" si="14"/>
        <v>0</v>
      </c>
    </row>
    <row r="129" spans="2:16">
      <c r="B129" s="9" t="str">
        <f t="shared" si="18"/>
        <v/>
      </c>
      <c r="C129" s="62">
        <f>IF(D93="","-",+C128+1)</f>
        <v>2045</v>
      </c>
      <c r="D129" s="63">
        <f>IF(F128+SUM(E$99:E128)=D$92,F128,D$92-SUM(E$99:E128))</f>
        <v>0</v>
      </c>
      <c r="E129" s="69">
        <f t="shared" si="19"/>
        <v>0</v>
      </c>
      <c r="F129" s="68">
        <f t="shared" si="20"/>
        <v>0</v>
      </c>
      <c r="G129" s="68">
        <f t="shared" si="21"/>
        <v>0</v>
      </c>
      <c r="H129" s="130">
        <f t="shared" si="15"/>
        <v>0</v>
      </c>
      <c r="I129" s="139">
        <f t="shared" si="16"/>
        <v>0</v>
      </c>
      <c r="J129" s="67">
        <f t="shared" si="17"/>
        <v>0</v>
      </c>
      <c r="K129" s="67"/>
      <c r="L129" s="132"/>
      <c r="M129" s="67">
        <f t="shared" si="12"/>
        <v>0</v>
      </c>
      <c r="N129" s="132"/>
      <c r="O129" s="67">
        <f t="shared" si="13"/>
        <v>0</v>
      </c>
      <c r="P129" s="67">
        <f t="shared" si="14"/>
        <v>0</v>
      </c>
    </row>
    <row r="130" spans="2:16">
      <c r="B130" s="9" t="str">
        <f t="shared" si="18"/>
        <v/>
      </c>
      <c r="C130" s="62">
        <f>IF(D93="","-",+C129+1)</f>
        <v>2046</v>
      </c>
      <c r="D130" s="63">
        <f>IF(F129+SUM(E$99:E129)=D$92,F129,D$92-SUM(E$99:E129))</f>
        <v>0</v>
      </c>
      <c r="E130" s="69">
        <f t="shared" si="19"/>
        <v>0</v>
      </c>
      <c r="F130" s="68">
        <f t="shared" si="20"/>
        <v>0</v>
      </c>
      <c r="G130" s="68">
        <f t="shared" si="21"/>
        <v>0</v>
      </c>
      <c r="H130" s="130">
        <f t="shared" si="15"/>
        <v>0</v>
      </c>
      <c r="I130" s="139">
        <f t="shared" si="16"/>
        <v>0</v>
      </c>
      <c r="J130" s="67">
        <f t="shared" si="17"/>
        <v>0</v>
      </c>
      <c r="K130" s="67"/>
      <c r="L130" s="132"/>
      <c r="M130" s="67">
        <f t="shared" si="12"/>
        <v>0</v>
      </c>
      <c r="N130" s="132"/>
      <c r="O130" s="67">
        <f t="shared" si="13"/>
        <v>0</v>
      </c>
      <c r="P130" s="67">
        <f t="shared" si="14"/>
        <v>0</v>
      </c>
    </row>
    <row r="131" spans="2:16">
      <c r="B131" s="9" t="str">
        <f t="shared" si="18"/>
        <v/>
      </c>
      <c r="C131" s="62">
        <f>IF(D93="","-",+C130+1)</f>
        <v>2047</v>
      </c>
      <c r="D131" s="63">
        <f>IF(F130+SUM(E$99:E130)=D$92,F130,D$92-SUM(E$99:E130))</f>
        <v>0</v>
      </c>
      <c r="E131" s="69">
        <f t="shared" si="19"/>
        <v>0</v>
      </c>
      <c r="F131" s="68">
        <f t="shared" si="20"/>
        <v>0</v>
      </c>
      <c r="G131" s="68">
        <f t="shared" si="21"/>
        <v>0</v>
      </c>
      <c r="H131" s="130">
        <f t="shared" si="15"/>
        <v>0</v>
      </c>
      <c r="I131" s="139">
        <f t="shared" si="16"/>
        <v>0</v>
      </c>
      <c r="J131" s="67">
        <f t="shared" ref="J131:J154" si="22">+I541-H541</f>
        <v>0</v>
      </c>
      <c r="K131" s="67"/>
      <c r="L131" s="132"/>
      <c r="M131" s="67">
        <f t="shared" ref="M131:M154" si="23">IF(L541&lt;&gt;0,+H541-L541,0)</f>
        <v>0</v>
      </c>
      <c r="N131" s="132"/>
      <c r="O131" s="67">
        <f t="shared" ref="O131:O154" si="24">IF(N541&lt;&gt;0,+I541-N541,0)</f>
        <v>0</v>
      </c>
      <c r="P131" s="67">
        <f t="shared" ref="P131:P154" si="25">+O541-M541</f>
        <v>0</v>
      </c>
    </row>
    <row r="132" spans="2:16">
      <c r="B132" s="9" t="str">
        <f t="shared" si="18"/>
        <v/>
      </c>
      <c r="C132" s="62">
        <f>IF(D93="","-",+C131+1)</f>
        <v>2048</v>
      </c>
      <c r="D132" s="63">
        <f>IF(F131+SUM(E$99:E131)=D$92,F131,D$92-SUM(E$99:E131))</f>
        <v>0</v>
      </c>
      <c r="E132" s="69">
        <f t="shared" si="19"/>
        <v>0</v>
      </c>
      <c r="F132" s="68">
        <f t="shared" si="20"/>
        <v>0</v>
      </c>
      <c r="G132" s="68">
        <f t="shared" si="21"/>
        <v>0</v>
      </c>
      <c r="H132" s="130">
        <f t="shared" si="15"/>
        <v>0</v>
      </c>
      <c r="I132" s="139">
        <f t="shared" si="16"/>
        <v>0</v>
      </c>
      <c r="J132" s="67">
        <f t="shared" si="22"/>
        <v>0</v>
      </c>
      <c r="K132" s="67"/>
      <c r="L132" s="132"/>
      <c r="M132" s="67">
        <f t="shared" si="23"/>
        <v>0</v>
      </c>
      <c r="N132" s="132"/>
      <c r="O132" s="67">
        <f t="shared" si="24"/>
        <v>0</v>
      </c>
      <c r="P132" s="67">
        <f t="shared" si="25"/>
        <v>0</v>
      </c>
    </row>
    <row r="133" spans="2:16">
      <c r="B133" s="9" t="str">
        <f t="shared" si="18"/>
        <v/>
      </c>
      <c r="C133" s="62">
        <f>IF(D93="","-",+C132+1)</f>
        <v>2049</v>
      </c>
      <c r="D133" s="63">
        <f>IF(F132+SUM(E$99:E132)=D$92,F132,D$92-SUM(E$99:E132))</f>
        <v>0</v>
      </c>
      <c r="E133" s="69">
        <f t="shared" si="19"/>
        <v>0</v>
      </c>
      <c r="F133" s="68">
        <f t="shared" si="20"/>
        <v>0</v>
      </c>
      <c r="G133" s="68">
        <f t="shared" si="21"/>
        <v>0</v>
      </c>
      <c r="H133" s="130">
        <f t="shared" si="15"/>
        <v>0</v>
      </c>
      <c r="I133" s="139">
        <f t="shared" si="16"/>
        <v>0</v>
      </c>
      <c r="J133" s="67">
        <f t="shared" si="22"/>
        <v>0</v>
      </c>
      <c r="K133" s="67"/>
      <c r="L133" s="132"/>
      <c r="M133" s="67">
        <f t="shared" si="23"/>
        <v>0</v>
      </c>
      <c r="N133" s="132"/>
      <c r="O133" s="67">
        <f t="shared" si="24"/>
        <v>0</v>
      </c>
      <c r="P133" s="67">
        <f t="shared" si="25"/>
        <v>0</v>
      </c>
    </row>
    <row r="134" spans="2:16">
      <c r="B134" s="9" t="str">
        <f t="shared" si="18"/>
        <v/>
      </c>
      <c r="C134" s="62">
        <f>IF(D93="","-",+C133+1)</f>
        <v>2050</v>
      </c>
      <c r="D134" s="63">
        <f>IF(F133+SUM(E$99:E133)=D$92,F133,D$92-SUM(E$99:E133))</f>
        <v>0</v>
      </c>
      <c r="E134" s="69">
        <f t="shared" si="19"/>
        <v>0</v>
      </c>
      <c r="F134" s="68">
        <f t="shared" si="20"/>
        <v>0</v>
      </c>
      <c r="G134" s="68">
        <f t="shared" si="21"/>
        <v>0</v>
      </c>
      <c r="H134" s="130">
        <f t="shared" si="15"/>
        <v>0</v>
      </c>
      <c r="I134" s="139">
        <f t="shared" si="16"/>
        <v>0</v>
      </c>
      <c r="J134" s="67">
        <f t="shared" si="22"/>
        <v>0</v>
      </c>
      <c r="K134" s="67"/>
      <c r="L134" s="132"/>
      <c r="M134" s="67">
        <f t="shared" si="23"/>
        <v>0</v>
      </c>
      <c r="N134" s="132"/>
      <c r="O134" s="67">
        <f t="shared" si="24"/>
        <v>0</v>
      </c>
      <c r="P134" s="67">
        <f t="shared" si="25"/>
        <v>0</v>
      </c>
    </row>
    <row r="135" spans="2:16">
      <c r="B135" s="9" t="str">
        <f t="shared" si="18"/>
        <v/>
      </c>
      <c r="C135" s="62">
        <f>IF(D93="","-",+C134+1)</f>
        <v>2051</v>
      </c>
      <c r="D135" s="63">
        <f>IF(F134+SUM(E$99:E134)=D$92,F134,D$92-SUM(E$99:E134))</f>
        <v>0</v>
      </c>
      <c r="E135" s="69">
        <f t="shared" si="19"/>
        <v>0</v>
      </c>
      <c r="F135" s="68">
        <f t="shared" si="20"/>
        <v>0</v>
      </c>
      <c r="G135" s="68">
        <f t="shared" si="21"/>
        <v>0</v>
      </c>
      <c r="H135" s="130">
        <f t="shared" si="15"/>
        <v>0</v>
      </c>
      <c r="I135" s="139">
        <f t="shared" si="16"/>
        <v>0</v>
      </c>
      <c r="J135" s="67">
        <f t="shared" si="22"/>
        <v>0</v>
      </c>
      <c r="K135" s="67"/>
      <c r="L135" s="132"/>
      <c r="M135" s="67">
        <f t="shared" si="23"/>
        <v>0</v>
      </c>
      <c r="N135" s="132"/>
      <c r="O135" s="67">
        <f t="shared" si="24"/>
        <v>0</v>
      </c>
      <c r="P135" s="67">
        <f t="shared" si="25"/>
        <v>0</v>
      </c>
    </row>
    <row r="136" spans="2:16">
      <c r="B136" s="9" t="str">
        <f t="shared" si="18"/>
        <v/>
      </c>
      <c r="C136" s="62">
        <f>IF(D93="","-",+C135+1)</f>
        <v>2052</v>
      </c>
      <c r="D136" s="63">
        <f>IF(F135+SUM(E$99:E135)=D$92,F135,D$92-SUM(E$99:E135))</f>
        <v>0</v>
      </c>
      <c r="E136" s="69">
        <f t="shared" si="19"/>
        <v>0</v>
      </c>
      <c r="F136" s="68">
        <f t="shared" si="20"/>
        <v>0</v>
      </c>
      <c r="G136" s="68">
        <f t="shared" si="21"/>
        <v>0</v>
      </c>
      <c r="H136" s="130">
        <f t="shared" si="15"/>
        <v>0</v>
      </c>
      <c r="I136" s="139">
        <f t="shared" si="16"/>
        <v>0</v>
      </c>
      <c r="J136" s="67">
        <f t="shared" si="22"/>
        <v>0</v>
      </c>
      <c r="K136" s="67"/>
      <c r="L136" s="132"/>
      <c r="M136" s="67">
        <f t="shared" si="23"/>
        <v>0</v>
      </c>
      <c r="N136" s="132"/>
      <c r="O136" s="67">
        <f t="shared" si="24"/>
        <v>0</v>
      </c>
      <c r="P136" s="67">
        <f t="shared" si="25"/>
        <v>0</v>
      </c>
    </row>
    <row r="137" spans="2:16">
      <c r="B137" s="9" t="str">
        <f t="shared" si="18"/>
        <v/>
      </c>
      <c r="C137" s="62">
        <f>IF(D93="","-",+C136+1)</f>
        <v>2053</v>
      </c>
      <c r="D137" s="63">
        <f>IF(F136+SUM(E$99:E136)=D$92,F136,D$92-SUM(E$99:E136))</f>
        <v>0</v>
      </c>
      <c r="E137" s="69">
        <f t="shared" si="19"/>
        <v>0</v>
      </c>
      <c r="F137" s="68">
        <f t="shared" si="20"/>
        <v>0</v>
      </c>
      <c r="G137" s="68">
        <f t="shared" si="21"/>
        <v>0</v>
      </c>
      <c r="H137" s="130">
        <f t="shared" si="15"/>
        <v>0</v>
      </c>
      <c r="I137" s="139">
        <f t="shared" si="16"/>
        <v>0</v>
      </c>
      <c r="J137" s="67">
        <f t="shared" si="22"/>
        <v>0</v>
      </c>
      <c r="K137" s="67"/>
      <c r="L137" s="132"/>
      <c r="M137" s="67">
        <f t="shared" si="23"/>
        <v>0</v>
      </c>
      <c r="N137" s="132"/>
      <c r="O137" s="67">
        <f t="shared" si="24"/>
        <v>0</v>
      </c>
      <c r="P137" s="67">
        <f t="shared" si="25"/>
        <v>0</v>
      </c>
    </row>
    <row r="138" spans="2:16">
      <c r="B138" s="9" t="str">
        <f t="shared" si="18"/>
        <v/>
      </c>
      <c r="C138" s="62">
        <f>IF(D93="","-",+C137+1)</f>
        <v>2054</v>
      </c>
      <c r="D138" s="63">
        <f>IF(F137+SUM(E$99:E137)=D$92,F137,D$92-SUM(E$99:E137))</f>
        <v>0</v>
      </c>
      <c r="E138" s="69">
        <f t="shared" si="19"/>
        <v>0</v>
      </c>
      <c r="F138" s="68">
        <f t="shared" si="20"/>
        <v>0</v>
      </c>
      <c r="G138" s="68">
        <f t="shared" si="21"/>
        <v>0</v>
      </c>
      <c r="H138" s="130">
        <f t="shared" si="15"/>
        <v>0</v>
      </c>
      <c r="I138" s="139">
        <f t="shared" si="16"/>
        <v>0</v>
      </c>
      <c r="J138" s="67">
        <f t="shared" si="22"/>
        <v>0</v>
      </c>
      <c r="K138" s="67"/>
      <c r="L138" s="132"/>
      <c r="M138" s="67">
        <f t="shared" si="23"/>
        <v>0</v>
      </c>
      <c r="N138" s="132"/>
      <c r="O138" s="67">
        <f t="shared" si="24"/>
        <v>0</v>
      </c>
      <c r="P138" s="67">
        <f t="shared" si="25"/>
        <v>0</v>
      </c>
    </row>
    <row r="139" spans="2:16">
      <c r="B139" s="9" t="str">
        <f t="shared" si="18"/>
        <v/>
      </c>
      <c r="C139" s="62">
        <f>IF(D93="","-",+C138+1)</f>
        <v>2055</v>
      </c>
      <c r="D139" s="63">
        <f>IF(F138+SUM(E$99:E138)=D$92,F138,D$92-SUM(E$99:E138))</f>
        <v>0</v>
      </c>
      <c r="E139" s="69">
        <f t="shared" si="19"/>
        <v>0</v>
      </c>
      <c r="F139" s="68">
        <f t="shared" si="20"/>
        <v>0</v>
      </c>
      <c r="G139" s="68">
        <f t="shared" si="21"/>
        <v>0</v>
      </c>
      <c r="H139" s="130">
        <f t="shared" si="15"/>
        <v>0</v>
      </c>
      <c r="I139" s="139">
        <f t="shared" si="16"/>
        <v>0</v>
      </c>
      <c r="J139" s="67">
        <f t="shared" si="22"/>
        <v>0</v>
      </c>
      <c r="K139" s="67"/>
      <c r="L139" s="132"/>
      <c r="M139" s="67">
        <f t="shared" si="23"/>
        <v>0</v>
      </c>
      <c r="N139" s="132"/>
      <c r="O139" s="67">
        <f t="shared" si="24"/>
        <v>0</v>
      </c>
      <c r="P139" s="67">
        <f t="shared" si="25"/>
        <v>0</v>
      </c>
    </row>
    <row r="140" spans="2:16">
      <c r="B140" s="9" t="str">
        <f t="shared" si="18"/>
        <v/>
      </c>
      <c r="C140" s="62">
        <f>IF(D93="","-",+C139+1)</f>
        <v>2056</v>
      </c>
      <c r="D140" s="63">
        <f>IF(F139+SUM(E$99:E139)=D$92,F139,D$92-SUM(E$99:E139))</f>
        <v>0</v>
      </c>
      <c r="E140" s="69">
        <f t="shared" si="19"/>
        <v>0</v>
      </c>
      <c r="F140" s="68">
        <f t="shared" si="20"/>
        <v>0</v>
      </c>
      <c r="G140" s="68">
        <f t="shared" si="21"/>
        <v>0</v>
      </c>
      <c r="H140" s="130">
        <f t="shared" si="15"/>
        <v>0</v>
      </c>
      <c r="I140" s="139">
        <f t="shared" si="16"/>
        <v>0</v>
      </c>
      <c r="J140" s="67">
        <f t="shared" si="22"/>
        <v>0</v>
      </c>
      <c r="K140" s="67"/>
      <c r="L140" s="132"/>
      <c r="M140" s="67">
        <f t="shared" si="23"/>
        <v>0</v>
      </c>
      <c r="N140" s="132"/>
      <c r="O140" s="67">
        <f t="shared" si="24"/>
        <v>0</v>
      </c>
      <c r="P140" s="67">
        <f t="shared" si="25"/>
        <v>0</v>
      </c>
    </row>
    <row r="141" spans="2:16">
      <c r="B141" s="9" t="str">
        <f t="shared" si="18"/>
        <v/>
      </c>
      <c r="C141" s="62">
        <f>IF(D93="","-",+C140+1)</f>
        <v>2057</v>
      </c>
      <c r="D141" s="63">
        <f>IF(F140+SUM(E$99:E140)=D$92,F140,D$92-SUM(E$99:E140))</f>
        <v>0</v>
      </c>
      <c r="E141" s="69">
        <f t="shared" si="19"/>
        <v>0</v>
      </c>
      <c r="F141" s="68">
        <f t="shared" si="20"/>
        <v>0</v>
      </c>
      <c r="G141" s="68">
        <f t="shared" si="21"/>
        <v>0</v>
      </c>
      <c r="H141" s="130">
        <f t="shared" si="15"/>
        <v>0</v>
      </c>
      <c r="I141" s="139">
        <f t="shared" si="16"/>
        <v>0</v>
      </c>
      <c r="J141" s="67">
        <f t="shared" si="22"/>
        <v>0</v>
      </c>
      <c r="K141" s="67"/>
      <c r="L141" s="132"/>
      <c r="M141" s="67">
        <f t="shared" si="23"/>
        <v>0</v>
      </c>
      <c r="N141" s="132"/>
      <c r="O141" s="67">
        <f t="shared" si="24"/>
        <v>0</v>
      </c>
      <c r="P141" s="67">
        <f t="shared" si="25"/>
        <v>0</v>
      </c>
    </row>
    <row r="142" spans="2:16">
      <c r="B142" s="9" t="str">
        <f t="shared" si="18"/>
        <v/>
      </c>
      <c r="C142" s="62">
        <f>IF(D93="","-",+C141+1)</f>
        <v>2058</v>
      </c>
      <c r="D142" s="63">
        <f>IF(F141+SUM(E$99:E141)=D$92,F141,D$92-SUM(E$99:E141))</f>
        <v>0</v>
      </c>
      <c r="E142" s="69">
        <f t="shared" si="19"/>
        <v>0</v>
      </c>
      <c r="F142" s="68">
        <f t="shared" si="20"/>
        <v>0</v>
      </c>
      <c r="G142" s="68">
        <f t="shared" si="21"/>
        <v>0</v>
      </c>
      <c r="H142" s="130">
        <f t="shared" si="15"/>
        <v>0</v>
      </c>
      <c r="I142" s="139">
        <f t="shared" si="16"/>
        <v>0</v>
      </c>
      <c r="J142" s="67">
        <f t="shared" si="22"/>
        <v>0</v>
      </c>
      <c r="K142" s="67"/>
      <c r="L142" s="132"/>
      <c r="M142" s="67">
        <f t="shared" si="23"/>
        <v>0</v>
      </c>
      <c r="N142" s="132"/>
      <c r="O142" s="67">
        <f t="shared" si="24"/>
        <v>0</v>
      </c>
      <c r="P142" s="67">
        <f t="shared" si="25"/>
        <v>0</v>
      </c>
    </row>
    <row r="143" spans="2:16">
      <c r="B143" s="9" t="str">
        <f t="shared" si="18"/>
        <v/>
      </c>
      <c r="C143" s="62">
        <f>IF(D93="","-",+C142+1)</f>
        <v>2059</v>
      </c>
      <c r="D143" s="63">
        <f>IF(F142+SUM(E$99:E142)=D$92,F142,D$92-SUM(E$99:E142))</f>
        <v>0</v>
      </c>
      <c r="E143" s="69">
        <f t="shared" si="19"/>
        <v>0</v>
      </c>
      <c r="F143" s="68">
        <f t="shared" si="20"/>
        <v>0</v>
      </c>
      <c r="G143" s="68">
        <f t="shared" si="21"/>
        <v>0</v>
      </c>
      <c r="H143" s="130">
        <f t="shared" si="15"/>
        <v>0</v>
      </c>
      <c r="I143" s="139">
        <f t="shared" si="16"/>
        <v>0</v>
      </c>
      <c r="J143" s="67">
        <f t="shared" si="22"/>
        <v>0</v>
      </c>
      <c r="K143" s="67"/>
      <c r="L143" s="132"/>
      <c r="M143" s="67">
        <f t="shared" si="23"/>
        <v>0</v>
      </c>
      <c r="N143" s="132"/>
      <c r="O143" s="67">
        <f t="shared" si="24"/>
        <v>0</v>
      </c>
      <c r="P143" s="67">
        <f t="shared" si="25"/>
        <v>0</v>
      </c>
    </row>
    <row r="144" spans="2:16">
      <c r="B144" s="9" t="str">
        <f t="shared" si="18"/>
        <v/>
      </c>
      <c r="C144" s="62">
        <f>IF(D93="","-",+C143+1)</f>
        <v>2060</v>
      </c>
      <c r="D144" s="63">
        <f>IF(F143+SUM(E$99:E143)=D$92,F143,D$92-SUM(E$99:E143))</f>
        <v>0</v>
      </c>
      <c r="E144" s="69">
        <f t="shared" si="19"/>
        <v>0</v>
      </c>
      <c r="F144" s="68">
        <f t="shared" si="20"/>
        <v>0</v>
      </c>
      <c r="G144" s="68">
        <f t="shared" si="21"/>
        <v>0</v>
      </c>
      <c r="H144" s="130">
        <f t="shared" si="15"/>
        <v>0</v>
      </c>
      <c r="I144" s="139">
        <f t="shared" si="16"/>
        <v>0</v>
      </c>
      <c r="J144" s="67">
        <f t="shared" si="22"/>
        <v>0</v>
      </c>
      <c r="K144" s="67"/>
      <c r="L144" s="132"/>
      <c r="M144" s="67">
        <f t="shared" si="23"/>
        <v>0</v>
      </c>
      <c r="N144" s="132"/>
      <c r="O144" s="67">
        <f t="shared" si="24"/>
        <v>0</v>
      </c>
      <c r="P144" s="67">
        <f t="shared" si="25"/>
        <v>0</v>
      </c>
    </row>
    <row r="145" spans="2:16">
      <c r="B145" s="9" t="str">
        <f t="shared" si="18"/>
        <v/>
      </c>
      <c r="C145" s="62">
        <f>IF(D93="","-",+C144+1)</f>
        <v>2061</v>
      </c>
      <c r="D145" s="63">
        <f>IF(F144+SUM(E$99:E144)=D$92,F144,D$92-SUM(E$99:E144))</f>
        <v>0</v>
      </c>
      <c r="E145" s="69">
        <f t="shared" si="19"/>
        <v>0</v>
      </c>
      <c r="F145" s="68">
        <f t="shared" si="20"/>
        <v>0</v>
      </c>
      <c r="G145" s="68">
        <f t="shared" si="21"/>
        <v>0</v>
      </c>
      <c r="H145" s="130">
        <f t="shared" si="15"/>
        <v>0</v>
      </c>
      <c r="I145" s="139">
        <f t="shared" si="16"/>
        <v>0</v>
      </c>
      <c r="J145" s="67">
        <f t="shared" si="22"/>
        <v>0</v>
      </c>
      <c r="K145" s="67"/>
      <c r="L145" s="132"/>
      <c r="M145" s="67">
        <f t="shared" si="23"/>
        <v>0</v>
      </c>
      <c r="N145" s="132"/>
      <c r="O145" s="67">
        <f t="shared" si="24"/>
        <v>0</v>
      </c>
      <c r="P145" s="67">
        <f t="shared" si="25"/>
        <v>0</v>
      </c>
    </row>
    <row r="146" spans="2:16">
      <c r="B146" s="9" t="str">
        <f t="shared" si="18"/>
        <v/>
      </c>
      <c r="C146" s="62">
        <f>IF(D93="","-",+C145+1)</f>
        <v>2062</v>
      </c>
      <c r="D146" s="63">
        <f>IF(F145+SUM(E$99:E145)=D$92,F145,D$92-SUM(E$99:E145))</f>
        <v>0</v>
      </c>
      <c r="E146" s="69">
        <f t="shared" si="19"/>
        <v>0</v>
      </c>
      <c r="F146" s="68">
        <f t="shared" si="20"/>
        <v>0</v>
      </c>
      <c r="G146" s="68">
        <f t="shared" si="21"/>
        <v>0</v>
      </c>
      <c r="H146" s="130">
        <f t="shared" si="15"/>
        <v>0</v>
      </c>
      <c r="I146" s="139">
        <f t="shared" si="16"/>
        <v>0</v>
      </c>
      <c r="J146" s="67">
        <f t="shared" si="22"/>
        <v>0</v>
      </c>
      <c r="K146" s="67"/>
      <c r="L146" s="132"/>
      <c r="M146" s="67">
        <f t="shared" si="23"/>
        <v>0</v>
      </c>
      <c r="N146" s="132"/>
      <c r="O146" s="67">
        <f t="shared" si="24"/>
        <v>0</v>
      </c>
      <c r="P146" s="67">
        <f t="shared" si="25"/>
        <v>0</v>
      </c>
    </row>
    <row r="147" spans="2:16">
      <c r="B147" s="9" t="str">
        <f t="shared" si="18"/>
        <v/>
      </c>
      <c r="C147" s="62">
        <f>IF(D93="","-",+C146+1)</f>
        <v>2063</v>
      </c>
      <c r="D147" s="63">
        <f>IF(F146+SUM(E$99:E146)=D$92,F146,D$92-SUM(E$99:E146))</f>
        <v>0</v>
      </c>
      <c r="E147" s="69">
        <f t="shared" si="19"/>
        <v>0</v>
      </c>
      <c r="F147" s="68">
        <f t="shared" si="20"/>
        <v>0</v>
      </c>
      <c r="G147" s="68">
        <f t="shared" si="21"/>
        <v>0</v>
      </c>
      <c r="H147" s="130">
        <f t="shared" si="15"/>
        <v>0</v>
      </c>
      <c r="I147" s="139">
        <f t="shared" si="16"/>
        <v>0</v>
      </c>
      <c r="J147" s="67">
        <f t="shared" si="22"/>
        <v>0</v>
      </c>
      <c r="K147" s="67"/>
      <c r="L147" s="132"/>
      <c r="M147" s="67">
        <f t="shared" si="23"/>
        <v>0</v>
      </c>
      <c r="N147" s="132"/>
      <c r="O147" s="67">
        <f t="shared" si="24"/>
        <v>0</v>
      </c>
      <c r="P147" s="67">
        <f t="shared" si="25"/>
        <v>0</v>
      </c>
    </row>
    <row r="148" spans="2:16">
      <c r="B148" s="9" t="str">
        <f t="shared" si="18"/>
        <v/>
      </c>
      <c r="C148" s="62">
        <f>IF(D93="","-",+C147+1)</f>
        <v>2064</v>
      </c>
      <c r="D148" s="63">
        <f>IF(F147+SUM(E$99:E147)=D$92,F147,D$92-SUM(E$99:E147))</f>
        <v>0</v>
      </c>
      <c r="E148" s="69">
        <f t="shared" si="19"/>
        <v>0</v>
      </c>
      <c r="F148" s="68">
        <f t="shared" si="20"/>
        <v>0</v>
      </c>
      <c r="G148" s="68">
        <f t="shared" si="21"/>
        <v>0</v>
      </c>
      <c r="H148" s="130">
        <f t="shared" si="15"/>
        <v>0</v>
      </c>
      <c r="I148" s="139">
        <f t="shared" si="16"/>
        <v>0</v>
      </c>
      <c r="J148" s="67">
        <f t="shared" si="22"/>
        <v>0</v>
      </c>
      <c r="K148" s="67"/>
      <c r="L148" s="132"/>
      <c r="M148" s="67">
        <f t="shared" si="23"/>
        <v>0</v>
      </c>
      <c r="N148" s="132"/>
      <c r="O148" s="67">
        <f t="shared" si="24"/>
        <v>0</v>
      </c>
      <c r="P148" s="67">
        <f t="shared" si="25"/>
        <v>0</v>
      </c>
    </row>
    <row r="149" spans="2:16">
      <c r="B149" s="9" t="str">
        <f t="shared" si="18"/>
        <v/>
      </c>
      <c r="C149" s="62">
        <f>IF(D93="","-",+C148+1)</f>
        <v>2065</v>
      </c>
      <c r="D149" s="63">
        <f>IF(F148+SUM(E$99:E148)=D$92,F148,D$92-SUM(E$99:E148))</f>
        <v>0</v>
      </c>
      <c r="E149" s="69">
        <f t="shared" si="19"/>
        <v>0</v>
      </c>
      <c r="F149" s="68">
        <f t="shared" si="20"/>
        <v>0</v>
      </c>
      <c r="G149" s="68">
        <f t="shared" si="21"/>
        <v>0</v>
      </c>
      <c r="H149" s="130">
        <f t="shared" si="15"/>
        <v>0</v>
      </c>
      <c r="I149" s="139">
        <f t="shared" si="16"/>
        <v>0</v>
      </c>
      <c r="J149" s="67">
        <f t="shared" si="22"/>
        <v>0</v>
      </c>
      <c r="K149" s="67"/>
      <c r="L149" s="132"/>
      <c r="M149" s="67">
        <f t="shared" si="23"/>
        <v>0</v>
      </c>
      <c r="N149" s="132"/>
      <c r="O149" s="67">
        <f t="shared" si="24"/>
        <v>0</v>
      </c>
      <c r="P149" s="67">
        <f t="shared" si="25"/>
        <v>0</v>
      </c>
    </row>
    <row r="150" spans="2:16">
      <c r="B150" s="9" t="str">
        <f t="shared" si="18"/>
        <v/>
      </c>
      <c r="C150" s="62">
        <f>IF(D93="","-",+C149+1)</f>
        <v>2066</v>
      </c>
      <c r="D150" s="63">
        <f>IF(F149+SUM(E$99:E149)=D$92,F149,D$92-SUM(E$99:E149))</f>
        <v>0</v>
      </c>
      <c r="E150" s="69">
        <f t="shared" si="19"/>
        <v>0</v>
      </c>
      <c r="F150" s="68">
        <f t="shared" si="20"/>
        <v>0</v>
      </c>
      <c r="G150" s="68">
        <f t="shared" si="21"/>
        <v>0</v>
      </c>
      <c r="H150" s="130">
        <f t="shared" si="15"/>
        <v>0</v>
      </c>
      <c r="I150" s="139">
        <f t="shared" si="16"/>
        <v>0</v>
      </c>
      <c r="J150" s="67">
        <f t="shared" si="22"/>
        <v>0</v>
      </c>
      <c r="K150" s="67"/>
      <c r="L150" s="132"/>
      <c r="M150" s="67">
        <f t="shared" si="23"/>
        <v>0</v>
      </c>
      <c r="N150" s="132"/>
      <c r="O150" s="67">
        <f t="shared" si="24"/>
        <v>0</v>
      </c>
      <c r="P150" s="67">
        <f t="shared" si="25"/>
        <v>0</v>
      </c>
    </row>
    <row r="151" spans="2:16">
      <c r="B151" s="9" t="str">
        <f t="shared" si="18"/>
        <v/>
      </c>
      <c r="C151" s="62">
        <f>IF(D93="","-",+C150+1)</f>
        <v>2067</v>
      </c>
      <c r="D151" s="63">
        <f>IF(F150+SUM(E$99:E150)=D$92,F150,D$92-SUM(E$99:E150))</f>
        <v>0</v>
      </c>
      <c r="E151" s="69">
        <f t="shared" si="19"/>
        <v>0</v>
      </c>
      <c r="F151" s="68">
        <f t="shared" si="20"/>
        <v>0</v>
      </c>
      <c r="G151" s="68">
        <f t="shared" si="21"/>
        <v>0</v>
      </c>
      <c r="H151" s="130">
        <f t="shared" si="15"/>
        <v>0</v>
      </c>
      <c r="I151" s="139">
        <f t="shared" si="16"/>
        <v>0</v>
      </c>
      <c r="J151" s="67">
        <f t="shared" si="22"/>
        <v>0</v>
      </c>
      <c r="K151" s="67"/>
      <c r="L151" s="132"/>
      <c r="M151" s="67">
        <f t="shared" si="23"/>
        <v>0</v>
      </c>
      <c r="N151" s="132"/>
      <c r="O151" s="67">
        <f t="shared" si="24"/>
        <v>0</v>
      </c>
      <c r="P151" s="67">
        <f t="shared" si="25"/>
        <v>0</v>
      </c>
    </row>
    <row r="152" spans="2:16">
      <c r="B152" s="9" t="str">
        <f t="shared" si="18"/>
        <v/>
      </c>
      <c r="C152" s="62">
        <f>IF(D93="","-",+C151+1)</f>
        <v>2068</v>
      </c>
      <c r="D152" s="63">
        <f>IF(F151+SUM(E$99:E151)=D$92,F151,D$92-SUM(E$99:E151))</f>
        <v>0</v>
      </c>
      <c r="E152" s="69">
        <f t="shared" si="19"/>
        <v>0</v>
      </c>
      <c r="F152" s="68">
        <f t="shared" si="20"/>
        <v>0</v>
      </c>
      <c r="G152" s="68">
        <f t="shared" si="21"/>
        <v>0</v>
      </c>
      <c r="H152" s="130">
        <f t="shared" si="15"/>
        <v>0</v>
      </c>
      <c r="I152" s="139">
        <f t="shared" si="16"/>
        <v>0</v>
      </c>
      <c r="J152" s="67">
        <f t="shared" si="22"/>
        <v>0</v>
      </c>
      <c r="K152" s="67"/>
      <c r="L152" s="132"/>
      <c r="M152" s="67">
        <f t="shared" si="23"/>
        <v>0</v>
      </c>
      <c r="N152" s="132"/>
      <c r="O152" s="67">
        <f t="shared" si="24"/>
        <v>0</v>
      </c>
      <c r="P152" s="67">
        <f t="shared" si="25"/>
        <v>0</v>
      </c>
    </row>
    <row r="153" spans="2:16">
      <c r="B153" s="9" t="str">
        <f t="shared" si="18"/>
        <v/>
      </c>
      <c r="C153" s="62">
        <f>IF(D93="","-",+C152+1)</f>
        <v>2069</v>
      </c>
      <c r="D153" s="63">
        <f>IF(F152+SUM(E$99:E152)=D$92,F152,D$92-SUM(E$99:E152))</f>
        <v>0</v>
      </c>
      <c r="E153" s="69">
        <f t="shared" si="19"/>
        <v>0</v>
      </c>
      <c r="F153" s="68">
        <f t="shared" si="20"/>
        <v>0</v>
      </c>
      <c r="G153" s="68">
        <f t="shared" si="21"/>
        <v>0</v>
      </c>
      <c r="H153" s="130">
        <f t="shared" si="15"/>
        <v>0</v>
      </c>
      <c r="I153" s="139">
        <f t="shared" si="16"/>
        <v>0</v>
      </c>
      <c r="J153" s="67">
        <f t="shared" si="22"/>
        <v>0</v>
      </c>
      <c r="K153" s="67"/>
      <c r="L153" s="132"/>
      <c r="M153" s="67">
        <f t="shared" si="23"/>
        <v>0</v>
      </c>
      <c r="N153" s="132"/>
      <c r="O153" s="67">
        <f t="shared" si="24"/>
        <v>0</v>
      </c>
      <c r="P153" s="67">
        <f t="shared" si="25"/>
        <v>0</v>
      </c>
    </row>
    <row r="154" spans="2:16" ht="13.5" thickBot="1">
      <c r="B154" s="9" t="str">
        <f t="shared" si="18"/>
        <v/>
      </c>
      <c r="C154" s="72">
        <f>IF(D93="","-",+C153+1)</f>
        <v>2070</v>
      </c>
      <c r="D154" s="98">
        <f>IF(F153+SUM(E$99:E153)=D$92,F153,D$92-SUM(E$99:E153))</f>
        <v>0</v>
      </c>
      <c r="E154" s="74">
        <f t="shared" si="19"/>
        <v>0</v>
      </c>
      <c r="F154" s="73">
        <f t="shared" si="20"/>
        <v>0</v>
      </c>
      <c r="G154" s="73">
        <f t="shared" si="21"/>
        <v>0</v>
      </c>
      <c r="H154" s="140">
        <f t="shared" si="15"/>
        <v>0</v>
      </c>
      <c r="I154" s="141">
        <f t="shared" si="16"/>
        <v>0</v>
      </c>
      <c r="J154" s="76">
        <f t="shared" si="22"/>
        <v>0</v>
      </c>
      <c r="K154" s="67"/>
      <c r="L154" s="133"/>
      <c r="M154" s="76">
        <f t="shared" si="23"/>
        <v>0</v>
      </c>
      <c r="N154" s="133"/>
      <c r="O154" s="76">
        <f t="shared" si="24"/>
        <v>0</v>
      </c>
      <c r="P154" s="76">
        <f t="shared" si="25"/>
        <v>0</v>
      </c>
    </row>
    <row r="155" spans="2:16">
      <c r="C155" s="63" t="s">
        <v>77</v>
      </c>
      <c r="D155" s="20"/>
      <c r="E155" s="20">
        <f>SUM(E99:E154)</f>
        <v>0</v>
      </c>
      <c r="F155" s="20"/>
      <c r="G155" s="20"/>
      <c r="H155" s="20">
        <f>SUM(H99:H154)</f>
        <v>0</v>
      </c>
      <c r="I155" s="20">
        <f>SUM(I99:I154)</f>
        <v>0</v>
      </c>
      <c r="J155" s="20">
        <f>SUM(J99:J154)</f>
        <v>0</v>
      </c>
      <c r="K155" s="20"/>
      <c r="L155" s="20"/>
      <c r="M155" s="20"/>
      <c r="N155" s="20"/>
      <c r="O155" s="20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20"/>
      <c r="L156" s="3"/>
      <c r="M156" s="3"/>
      <c r="N156" s="3"/>
      <c r="O156" s="3"/>
      <c r="P156" s="1"/>
    </row>
    <row r="157" spans="2:16">
      <c r="C157" s="99"/>
      <c r="D157" s="2"/>
      <c r="E157" s="1"/>
      <c r="F157" s="1"/>
      <c r="G157" s="1"/>
      <c r="H157" s="1"/>
      <c r="I157" s="3"/>
      <c r="J157" s="3"/>
      <c r="K157" s="20"/>
      <c r="L157" s="3"/>
      <c r="M157" s="3"/>
      <c r="N157" s="3"/>
      <c r="O157" s="3"/>
      <c r="P157" s="1"/>
    </row>
    <row r="158" spans="2:16">
      <c r="C158" s="115" t="s">
        <v>149</v>
      </c>
      <c r="D158" s="2"/>
      <c r="E158" s="1"/>
      <c r="F158" s="1"/>
      <c r="G158" s="1"/>
      <c r="H158" s="1"/>
      <c r="I158" s="3"/>
      <c r="J158" s="3"/>
      <c r="K158" s="20"/>
      <c r="L158" s="3"/>
      <c r="M158" s="3"/>
      <c r="N158" s="3"/>
      <c r="O158" s="3"/>
      <c r="P158" s="1"/>
    </row>
    <row r="159" spans="2:16">
      <c r="C159" s="32" t="s">
        <v>78</v>
      </c>
      <c r="D159" s="63"/>
      <c r="E159" s="63"/>
      <c r="F159" s="63"/>
      <c r="G159" s="63"/>
      <c r="H159" s="20"/>
      <c r="I159" s="20"/>
      <c r="J159" s="78"/>
      <c r="K159" s="78"/>
      <c r="L159" s="78"/>
      <c r="M159" s="78"/>
      <c r="N159" s="78"/>
      <c r="O159" s="78"/>
      <c r="P159" s="1"/>
    </row>
    <row r="160" spans="2:16">
      <c r="C160" s="100" t="s">
        <v>79</v>
      </c>
      <c r="D160" s="63"/>
      <c r="E160" s="63"/>
      <c r="F160" s="63"/>
      <c r="G160" s="63"/>
      <c r="H160" s="20"/>
      <c r="I160" s="20"/>
      <c r="J160" s="78"/>
      <c r="K160" s="78"/>
      <c r="L160" s="78"/>
      <c r="M160" s="78"/>
      <c r="N160" s="78"/>
      <c r="O160" s="78"/>
      <c r="P160" s="1"/>
    </row>
    <row r="161" spans="3:16">
      <c r="C161" s="100"/>
      <c r="D161" s="63"/>
      <c r="E161" s="63"/>
      <c r="F161" s="63"/>
      <c r="G161" s="63"/>
      <c r="H161" s="20"/>
      <c r="I161" s="20"/>
      <c r="J161" s="78"/>
      <c r="K161" s="78"/>
      <c r="L161" s="78"/>
      <c r="M161" s="78"/>
      <c r="N161" s="78"/>
      <c r="O161" s="78"/>
      <c r="P161" s="1"/>
    </row>
    <row r="162" spans="3:16" ht="18">
      <c r="C162" s="100"/>
      <c r="D162" s="63"/>
      <c r="E162" s="63"/>
      <c r="F162" s="63"/>
      <c r="G162" s="63"/>
      <c r="H162" s="20"/>
      <c r="I162" s="20"/>
      <c r="J162" s="78"/>
      <c r="K162" s="78"/>
      <c r="L162" s="78"/>
      <c r="M162" s="78"/>
      <c r="N162" s="78"/>
      <c r="P162" s="112" t="s">
        <v>145</v>
      </c>
    </row>
  </sheetData>
  <phoneticPr fontId="0" type="noConversion"/>
  <conditionalFormatting sqref="C17:C72">
    <cfRule type="cellIs" dxfId="1" priority="1" stopIfTrue="1" operator="equal">
      <formula>$I$10</formula>
    </cfRule>
  </conditionalFormatting>
  <conditionalFormatting sqref="C99:C154">
    <cfRule type="cellIs" dxfId="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9"/>
  <dimension ref="A1:P162"/>
  <sheetViews>
    <sheetView topLeftCell="A92" zoomScaleNormal="100" zoomScaleSheetLayoutView="80" workbookViewId="0">
      <selection activeCell="V52" sqref="V5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14062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"&amp;RIGHT(MID(CELL("filename",$A$1),FIND("]",CELL("filename",$A$1))+1,256),1)&amp;" of "&amp;COUNT('P.001:P.xyz - blank'!$P$3)-1</f>
        <v>PSO Project 1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 t="str">
        <f>"For Calendar Year "&amp;V1-1&amp;" and Projected Year "&amp;V1</f>
        <v xml:space="preserve">For Calendar Year -1 and Projected Year </v>
      </c>
      <c r="I3" s="240"/>
      <c r="J3" s="346"/>
      <c r="K3" s="240"/>
      <c r="L3" s="240"/>
      <c r="M3" s="240"/>
      <c r="N3" s="240"/>
      <c r="O3" s="231" t="str">
        <f>RIGHT(N3,3)</f>
        <v/>
      </c>
      <c r="P3" s="41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91485.150622743604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91485.150622743604</v>
      </c>
      <c r="O6" s="231"/>
      <c r="P6" s="231"/>
    </row>
    <row r="7" spans="1:16" ht="13.5" thickBot="1">
      <c r="C7" s="429" t="s">
        <v>46</v>
      </c>
      <c r="D7" s="430" t="s">
        <v>209</v>
      </c>
      <c r="E7" s="330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 t="str">
        <f>IF(D10&lt;100000,"DOES NOT MEET SPP $100,000 MINIMUM INVESTMENT FOR REGIONAL BPU SHARING.","")</f>
        <v/>
      </c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A9" s="155"/>
      <c r="C9" s="438" t="s">
        <v>48</v>
      </c>
      <c r="D9" s="439" t="s">
        <v>49</v>
      </c>
      <c r="E9" s="575" t="s">
        <v>354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893858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2009</v>
      </c>
      <c r="E11" s="448" t="s">
        <v>54</v>
      </c>
      <c r="F11" s="446"/>
      <c r="G11" s="194"/>
      <c r="H11" s="194"/>
      <c r="I11" s="450"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6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IF(D10=0,0,ROUND(D10/D13,0))</f>
        <v>23523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C17" s="470">
        <f>IF(D11= "","-",D11)</f>
        <v>2009</v>
      </c>
      <c r="D17" s="471">
        <v>579098</v>
      </c>
      <c r="E17" s="472">
        <v>5463</v>
      </c>
      <c r="F17" s="471">
        <v>573635</v>
      </c>
      <c r="G17" s="472">
        <v>56729</v>
      </c>
      <c r="H17" s="472">
        <v>56729</v>
      </c>
      <c r="I17" s="473">
        <f t="shared" ref="I17:I48" si="0">H17-G17</f>
        <v>0</v>
      </c>
      <c r="J17" s="473"/>
      <c r="K17" s="474">
        <v>56729</v>
      </c>
      <c r="L17" s="475">
        <f t="shared" ref="L17:L48" si="1">IF(K17&lt;&gt;0,+G17-K17,0)</f>
        <v>0</v>
      </c>
      <c r="M17" s="474">
        <v>56729</v>
      </c>
      <c r="N17" s="475">
        <f t="shared" ref="N17:N48" si="2">IF(M17&lt;&gt;0,+H17-M17,0)</f>
        <v>0</v>
      </c>
      <c r="O17" s="476">
        <f t="shared" ref="O17:O48" si="3">+N17-L17</f>
        <v>0</v>
      </c>
      <c r="P17" s="241"/>
    </row>
    <row r="18" spans="2:16">
      <c r="B18" s="160" t="str">
        <f>IF(D18=F17,"","IU")</f>
        <v>IU</v>
      </c>
      <c r="C18" s="470">
        <f>IF(D11="","-",+C17+1)</f>
        <v>2010</v>
      </c>
      <c r="D18" s="477">
        <v>888395</v>
      </c>
      <c r="E18" s="478">
        <v>15962</v>
      </c>
      <c r="F18" s="477">
        <v>872433</v>
      </c>
      <c r="G18" s="478">
        <v>141851</v>
      </c>
      <c r="H18" s="479">
        <v>141851</v>
      </c>
      <c r="I18" s="473">
        <f t="shared" si="0"/>
        <v>0</v>
      </c>
      <c r="J18" s="473"/>
      <c r="K18" s="474">
        <f t="shared" ref="K18:K23" si="4">G18</f>
        <v>141851</v>
      </c>
      <c r="L18" s="476">
        <f t="shared" si="1"/>
        <v>0</v>
      </c>
      <c r="M18" s="474">
        <f t="shared" ref="M18:M23" si="5">H18</f>
        <v>141851</v>
      </c>
      <c r="N18" s="476">
        <f t="shared" si="2"/>
        <v>0</v>
      </c>
      <c r="O18" s="476">
        <f t="shared" si="3"/>
        <v>0</v>
      </c>
      <c r="P18" s="241"/>
    </row>
    <row r="19" spans="2:16">
      <c r="B19" s="160" t="str">
        <f>IF(D19=F18,"","IU")</f>
        <v/>
      </c>
      <c r="C19" s="470">
        <f>IF(D11="","-",+C18+1)</f>
        <v>2011</v>
      </c>
      <c r="D19" s="477">
        <v>872433</v>
      </c>
      <c r="E19" s="478">
        <v>17527</v>
      </c>
      <c r="F19" s="477">
        <v>854906</v>
      </c>
      <c r="G19" s="478">
        <v>151356.84230707804</v>
      </c>
      <c r="H19" s="479">
        <v>151356.84230707804</v>
      </c>
      <c r="I19" s="473">
        <f t="shared" si="0"/>
        <v>0</v>
      </c>
      <c r="J19" s="473"/>
      <c r="K19" s="474">
        <f t="shared" si="4"/>
        <v>151356.84230707804</v>
      </c>
      <c r="L19" s="476">
        <f t="shared" si="1"/>
        <v>0</v>
      </c>
      <c r="M19" s="474">
        <f t="shared" si="5"/>
        <v>151356.84230707804</v>
      </c>
      <c r="N19" s="476">
        <f t="shared" si="2"/>
        <v>0</v>
      </c>
      <c r="O19" s="476">
        <f t="shared" si="3"/>
        <v>0</v>
      </c>
      <c r="P19" s="241"/>
    </row>
    <row r="20" spans="2:16">
      <c r="B20" s="160" t="str">
        <f t="shared" ref="B20:B72" si="6">IF(D20=F19,"","IU")</f>
        <v/>
      </c>
      <c r="C20" s="480">
        <f>IF(D11="","-",+C19+1)</f>
        <v>2012</v>
      </c>
      <c r="D20" s="477">
        <v>854906</v>
      </c>
      <c r="E20" s="478">
        <v>17190</v>
      </c>
      <c r="F20" s="477">
        <v>837716</v>
      </c>
      <c r="G20" s="478">
        <v>133805.70830730975</v>
      </c>
      <c r="H20" s="479">
        <v>133805.70830730975</v>
      </c>
      <c r="I20" s="473">
        <f t="shared" si="0"/>
        <v>0</v>
      </c>
      <c r="J20" s="473"/>
      <c r="K20" s="474">
        <f t="shared" si="4"/>
        <v>133805.70830730975</v>
      </c>
      <c r="L20" s="476">
        <f t="shared" si="1"/>
        <v>0</v>
      </c>
      <c r="M20" s="474">
        <f t="shared" si="5"/>
        <v>133805.70830730975</v>
      </c>
      <c r="N20" s="476">
        <f t="shared" si="2"/>
        <v>0</v>
      </c>
      <c r="O20" s="476">
        <f t="shared" si="3"/>
        <v>0</v>
      </c>
      <c r="P20" s="241"/>
    </row>
    <row r="21" spans="2:16">
      <c r="B21" s="160" t="str">
        <f t="shared" si="6"/>
        <v/>
      </c>
      <c r="C21" s="480">
        <f>IF(D12="","-",+C20+1)</f>
        <v>2013</v>
      </c>
      <c r="D21" s="477">
        <v>837716</v>
      </c>
      <c r="E21" s="478">
        <v>17190</v>
      </c>
      <c r="F21" s="477">
        <v>820526</v>
      </c>
      <c r="G21" s="478">
        <v>134366.65985215519</v>
      </c>
      <c r="H21" s="479">
        <v>134366.65985215519</v>
      </c>
      <c r="I21" s="473">
        <v>0</v>
      </c>
      <c r="J21" s="473"/>
      <c r="K21" s="474">
        <f t="shared" si="4"/>
        <v>134366.65985215519</v>
      </c>
      <c r="L21" s="476">
        <f t="shared" ref="L21:L26" si="7">IF(K21&lt;&gt;0,+G21-K21,0)</f>
        <v>0</v>
      </c>
      <c r="M21" s="474">
        <f t="shared" si="5"/>
        <v>134366.65985215519</v>
      </c>
      <c r="N21" s="476">
        <f t="shared" ref="N21:N26" si="8">IF(M21&lt;&gt;0,+H21-M21,0)</f>
        <v>0</v>
      </c>
      <c r="O21" s="476">
        <f t="shared" ref="O21:O26" si="9">+N21-L21</f>
        <v>0</v>
      </c>
      <c r="P21" s="241"/>
    </row>
    <row r="22" spans="2:16">
      <c r="B22" s="160" t="str">
        <f t="shared" si="6"/>
        <v/>
      </c>
      <c r="C22" s="470">
        <f>IF(D11="","-",+C21+1)</f>
        <v>2014</v>
      </c>
      <c r="D22" s="477">
        <v>820526</v>
      </c>
      <c r="E22" s="478">
        <v>17190</v>
      </c>
      <c r="F22" s="477">
        <v>803336</v>
      </c>
      <c r="G22" s="478">
        <v>127776.24380165605</v>
      </c>
      <c r="H22" s="479">
        <v>127776.24380165605</v>
      </c>
      <c r="I22" s="473">
        <v>0</v>
      </c>
      <c r="J22" s="473"/>
      <c r="K22" s="474">
        <f t="shared" si="4"/>
        <v>127776.24380165605</v>
      </c>
      <c r="L22" s="476">
        <f t="shared" si="7"/>
        <v>0</v>
      </c>
      <c r="M22" s="474">
        <f t="shared" si="5"/>
        <v>127776.24380165605</v>
      </c>
      <c r="N22" s="476">
        <f t="shared" si="8"/>
        <v>0</v>
      </c>
      <c r="O22" s="476">
        <f t="shared" si="9"/>
        <v>0</v>
      </c>
      <c r="P22" s="241"/>
    </row>
    <row r="23" spans="2:16">
      <c r="B23" s="160" t="str">
        <f t="shared" si="6"/>
        <v/>
      </c>
      <c r="C23" s="470">
        <f>IF(D11="","-",+C22+1)</f>
        <v>2015</v>
      </c>
      <c r="D23" s="477">
        <v>803336</v>
      </c>
      <c r="E23" s="478">
        <v>17190</v>
      </c>
      <c r="F23" s="477">
        <v>786146</v>
      </c>
      <c r="G23" s="478">
        <v>125577.25148028173</v>
      </c>
      <c r="H23" s="479">
        <v>125577.25148028173</v>
      </c>
      <c r="I23" s="473">
        <v>0</v>
      </c>
      <c r="J23" s="473"/>
      <c r="K23" s="474">
        <f t="shared" si="4"/>
        <v>125577.25148028173</v>
      </c>
      <c r="L23" s="476">
        <f t="shared" si="7"/>
        <v>0</v>
      </c>
      <c r="M23" s="474">
        <f t="shared" si="5"/>
        <v>125577.25148028173</v>
      </c>
      <c r="N23" s="476">
        <f t="shared" si="8"/>
        <v>0</v>
      </c>
      <c r="O23" s="476">
        <f t="shared" si="9"/>
        <v>0</v>
      </c>
      <c r="P23" s="241"/>
    </row>
    <row r="24" spans="2:16">
      <c r="B24" s="160" t="str">
        <f t="shared" si="6"/>
        <v/>
      </c>
      <c r="C24" s="470">
        <f>IF(D11="","-",+C23+1)</f>
        <v>2016</v>
      </c>
      <c r="D24" s="477">
        <v>786146</v>
      </c>
      <c r="E24" s="478">
        <v>17190</v>
      </c>
      <c r="F24" s="477">
        <v>768956</v>
      </c>
      <c r="G24" s="478">
        <v>118045.98754263212</v>
      </c>
      <c r="H24" s="479">
        <v>118045.98754263212</v>
      </c>
      <c r="I24" s="473">
        <f t="shared" si="0"/>
        <v>0</v>
      </c>
      <c r="J24" s="473"/>
      <c r="K24" s="474">
        <f t="shared" ref="K24:K29" si="10">G24</f>
        <v>118045.98754263212</v>
      </c>
      <c r="L24" s="476">
        <f t="shared" si="7"/>
        <v>0</v>
      </c>
      <c r="M24" s="474">
        <f t="shared" ref="M24:M29" si="11">H24</f>
        <v>118045.98754263212</v>
      </c>
      <c r="N24" s="476">
        <f t="shared" si="8"/>
        <v>0</v>
      </c>
      <c r="O24" s="476">
        <f t="shared" si="9"/>
        <v>0</v>
      </c>
      <c r="P24" s="241"/>
    </row>
    <row r="25" spans="2:16">
      <c r="B25" s="160" t="str">
        <f t="shared" si="6"/>
        <v/>
      </c>
      <c r="C25" s="470">
        <f>IF(D11="","-",+C24+1)</f>
        <v>2017</v>
      </c>
      <c r="D25" s="477">
        <v>768956</v>
      </c>
      <c r="E25" s="478">
        <v>19432</v>
      </c>
      <c r="F25" s="477">
        <v>749524</v>
      </c>
      <c r="G25" s="478">
        <v>114816.91495996526</v>
      </c>
      <c r="H25" s="479">
        <v>114816.91495996526</v>
      </c>
      <c r="I25" s="473">
        <f t="shared" si="0"/>
        <v>0</v>
      </c>
      <c r="J25" s="473"/>
      <c r="K25" s="474">
        <f t="shared" si="10"/>
        <v>114816.91495996526</v>
      </c>
      <c r="L25" s="476">
        <f t="shared" si="7"/>
        <v>0</v>
      </c>
      <c r="M25" s="474">
        <f t="shared" si="11"/>
        <v>114816.91495996526</v>
      </c>
      <c r="N25" s="476">
        <f t="shared" si="8"/>
        <v>0</v>
      </c>
      <c r="O25" s="476">
        <f t="shared" si="9"/>
        <v>0</v>
      </c>
      <c r="P25" s="241"/>
    </row>
    <row r="26" spans="2:16">
      <c r="B26" s="160" t="str">
        <f t="shared" si="6"/>
        <v/>
      </c>
      <c r="C26" s="470">
        <f>IF(D11="","-",+C25+1)</f>
        <v>2018</v>
      </c>
      <c r="D26" s="477">
        <v>749524</v>
      </c>
      <c r="E26" s="478">
        <v>19864</v>
      </c>
      <c r="F26" s="477">
        <v>729660</v>
      </c>
      <c r="G26" s="478">
        <v>108436.75447594153</v>
      </c>
      <c r="H26" s="479">
        <v>108436.75447594153</v>
      </c>
      <c r="I26" s="473">
        <f t="shared" si="0"/>
        <v>0</v>
      </c>
      <c r="J26" s="473"/>
      <c r="K26" s="474">
        <f t="shared" si="10"/>
        <v>108436.75447594153</v>
      </c>
      <c r="L26" s="476">
        <f t="shared" si="7"/>
        <v>0</v>
      </c>
      <c r="M26" s="474">
        <f t="shared" si="11"/>
        <v>108436.75447594153</v>
      </c>
      <c r="N26" s="476">
        <f t="shared" si="8"/>
        <v>0</v>
      </c>
      <c r="O26" s="476">
        <f t="shared" si="9"/>
        <v>0</v>
      </c>
      <c r="P26" s="241"/>
    </row>
    <row r="27" spans="2:16">
      <c r="B27" s="160" t="str">
        <f t="shared" si="6"/>
        <v/>
      </c>
      <c r="C27" s="470">
        <f>IF(D11="","-",+C26+1)</f>
        <v>2019</v>
      </c>
      <c r="D27" s="477">
        <v>729660</v>
      </c>
      <c r="E27" s="478">
        <v>22346</v>
      </c>
      <c r="F27" s="477">
        <v>707314</v>
      </c>
      <c r="G27" s="478">
        <v>102569.83805108386</v>
      </c>
      <c r="H27" s="479">
        <v>102569.83805108386</v>
      </c>
      <c r="I27" s="473">
        <f t="shared" si="0"/>
        <v>0</v>
      </c>
      <c r="J27" s="473"/>
      <c r="K27" s="474">
        <f t="shared" si="10"/>
        <v>102569.83805108386</v>
      </c>
      <c r="L27" s="476">
        <f t="shared" ref="L27" si="12">IF(K27&lt;&gt;0,+G27-K27,0)</f>
        <v>0</v>
      </c>
      <c r="M27" s="474">
        <f t="shared" si="11"/>
        <v>102569.83805108386</v>
      </c>
      <c r="N27" s="476">
        <f t="shared" ref="N27" si="13">IF(M27&lt;&gt;0,+H27-M27,0)</f>
        <v>0</v>
      </c>
      <c r="O27" s="476">
        <f t="shared" ref="O27" si="14">+N27-L27</f>
        <v>0</v>
      </c>
      <c r="P27" s="241"/>
    </row>
    <row r="28" spans="2:16">
      <c r="B28" s="160" t="str">
        <f t="shared" si="6"/>
        <v>IU</v>
      </c>
      <c r="C28" s="470">
        <f>IF(D11="","-",+C27+1)</f>
        <v>2020</v>
      </c>
      <c r="D28" s="477">
        <v>709796</v>
      </c>
      <c r="E28" s="478">
        <v>21282</v>
      </c>
      <c r="F28" s="477">
        <v>688514</v>
      </c>
      <c r="G28" s="478">
        <v>96794.079800478314</v>
      </c>
      <c r="H28" s="479">
        <v>96794.079800478314</v>
      </c>
      <c r="I28" s="473">
        <f t="shared" si="0"/>
        <v>0</v>
      </c>
      <c r="J28" s="473"/>
      <c r="K28" s="474">
        <f t="shared" si="10"/>
        <v>96794.079800478314</v>
      </c>
      <c r="L28" s="476">
        <f t="shared" ref="L28" si="15">IF(K28&lt;&gt;0,+G28-K28,0)</f>
        <v>0</v>
      </c>
      <c r="M28" s="474">
        <f t="shared" si="11"/>
        <v>96794.079800478314</v>
      </c>
      <c r="N28" s="476">
        <f t="shared" si="2"/>
        <v>0</v>
      </c>
      <c r="O28" s="476">
        <f t="shared" si="3"/>
        <v>0</v>
      </c>
      <c r="P28" s="241"/>
    </row>
    <row r="29" spans="2:16">
      <c r="B29" s="160" t="str">
        <f t="shared" si="6"/>
        <v>IU</v>
      </c>
      <c r="C29" s="470">
        <f>IF(D11="","-",+C28+1)</f>
        <v>2021</v>
      </c>
      <c r="D29" s="477">
        <v>686032</v>
      </c>
      <c r="E29" s="478">
        <v>20787</v>
      </c>
      <c r="F29" s="477">
        <v>665245</v>
      </c>
      <c r="G29" s="478">
        <v>92514.814817027102</v>
      </c>
      <c r="H29" s="479">
        <v>92514.814817027102</v>
      </c>
      <c r="I29" s="473">
        <f t="shared" si="0"/>
        <v>0</v>
      </c>
      <c r="J29" s="473"/>
      <c r="K29" s="474">
        <f t="shared" si="10"/>
        <v>92514.814817027102</v>
      </c>
      <c r="L29" s="476">
        <f t="shared" ref="L29" si="16">IF(K29&lt;&gt;0,+G29-K29,0)</f>
        <v>0</v>
      </c>
      <c r="M29" s="474">
        <f t="shared" si="11"/>
        <v>92514.814817027102</v>
      </c>
      <c r="N29" s="476">
        <f t="shared" si="2"/>
        <v>0</v>
      </c>
      <c r="O29" s="476">
        <f t="shared" si="3"/>
        <v>0</v>
      </c>
      <c r="P29" s="241"/>
    </row>
    <row r="30" spans="2:16">
      <c r="B30" s="160" t="str">
        <f t="shared" si="6"/>
        <v/>
      </c>
      <c r="C30" s="470">
        <f>IF(D11="","-",+C29+1)</f>
        <v>2022</v>
      </c>
      <c r="D30" s="477">
        <v>665245</v>
      </c>
      <c r="E30" s="478">
        <v>21282</v>
      </c>
      <c r="F30" s="477">
        <v>643963</v>
      </c>
      <c r="G30" s="478">
        <v>90708.453283775307</v>
      </c>
      <c r="H30" s="479">
        <v>90708.453283775307</v>
      </c>
      <c r="I30" s="473">
        <f t="shared" si="0"/>
        <v>0</v>
      </c>
      <c r="J30" s="473"/>
      <c r="K30" s="474">
        <f t="shared" ref="K30" si="17">G30</f>
        <v>90708.453283775307</v>
      </c>
      <c r="L30" s="476">
        <f t="shared" ref="L30" si="18">IF(K30&lt;&gt;0,+G30-K30,0)</f>
        <v>0</v>
      </c>
      <c r="M30" s="474">
        <f t="shared" ref="M30" si="19">H30</f>
        <v>90708.453283775307</v>
      </c>
      <c r="N30" s="476">
        <f t="shared" si="2"/>
        <v>0</v>
      </c>
      <c r="O30" s="476">
        <f t="shared" si="3"/>
        <v>0</v>
      </c>
      <c r="P30" s="241"/>
    </row>
    <row r="31" spans="2:16">
      <c r="B31" s="160" t="str">
        <f t="shared" si="6"/>
        <v/>
      </c>
      <c r="C31" s="632">
        <f>IF(D11="","-",+C30+1)</f>
        <v>2023</v>
      </c>
      <c r="D31" s="477">
        <v>643963</v>
      </c>
      <c r="E31" s="478">
        <v>22919</v>
      </c>
      <c r="F31" s="477">
        <v>621044</v>
      </c>
      <c r="G31" s="478">
        <v>97046.160151699252</v>
      </c>
      <c r="H31" s="479">
        <v>97046.160151699252</v>
      </c>
      <c r="I31" s="473">
        <f t="shared" si="0"/>
        <v>0</v>
      </c>
      <c r="J31" s="473"/>
      <c r="K31" s="474">
        <f t="shared" ref="K31" si="20">G31</f>
        <v>97046.160151699252</v>
      </c>
      <c r="L31" s="476">
        <f t="shared" ref="L31" si="21">IF(K31&lt;&gt;0,+G31-K31,0)</f>
        <v>0</v>
      </c>
      <c r="M31" s="474">
        <f t="shared" ref="M31" si="22">H31</f>
        <v>97046.160151699252</v>
      </c>
      <c r="N31" s="476">
        <f t="shared" ref="N31" si="23">IF(M31&lt;&gt;0,+H31-M31,0)</f>
        <v>0</v>
      </c>
      <c r="O31" s="476">
        <f t="shared" ref="O31" si="24">+N31-L31</f>
        <v>0</v>
      </c>
      <c r="P31" s="241"/>
    </row>
    <row r="32" spans="2:16">
      <c r="B32" s="160" t="str">
        <f t="shared" si="6"/>
        <v/>
      </c>
      <c r="C32" s="631">
        <f>IF(D11="","-",+C31+1)</f>
        <v>2024</v>
      </c>
      <c r="D32" s="481">
        <f>IF(F31+SUM(E$17:E31)=D$10,F31,D$10-SUM(E$17:E31))</f>
        <v>621044</v>
      </c>
      <c r="E32" s="482">
        <f>IF(+I14&lt;F31,I14,D32)</f>
        <v>23523</v>
      </c>
      <c r="F32" s="483">
        <f t="shared" ref="F32:F48" si="25">+D32-E32</f>
        <v>597521</v>
      </c>
      <c r="G32" s="484">
        <f t="shared" ref="G32:G72" si="26">+I$12*F32+E32</f>
        <v>91485.150622743604</v>
      </c>
      <c r="H32" s="453">
        <f t="shared" ref="H32:H72" si="27">+I$13*F32+E32</f>
        <v>91485.150622743604</v>
      </c>
      <c r="I32" s="473">
        <f t="shared" si="0"/>
        <v>0</v>
      </c>
      <c r="J32" s="473"/>
      <c r="K32" s="485"/>
      <c r="L32" s="476">
        <f t="shared" si="1"/>
        <v>0</v>
      </c>
      <c r="M32" s="485"/>
      <c r="N32" s="476">
        <f t="shared" si="2"/>
        <v>0</v>
      </c>
      <c r="O32" s="476">
        <f t="shared" si="3"/>
        <v>0</v>
      </c>
      <c r="P32" s="241"/>
    </row>
    <row r="33" spans="2:16">
      <c r="B33" s="160" t="str">
        <f t="shared" si="6"/>
        <v/>
      </c>
      <c r="C33" s="470">
        <f>IF(D11="","-",+C32+1)</f>
        <v>2025</v>
      </c>
      <c r="D33" s="481">
        <f>IF(F32+SUM(E$17:E32)=D$10,F32,D$10-SUM(E$17:E32))</f>
        <v>597521</v>
      </c>
      <c r="E33" s="482">
        <f>IF(+I14&lt;F32,I14,D33)</f>
        <v>23523</v>
      </c>
      <c r="F33" s="483">
        <f t="shared" si="25"/>
        <v>573998</v>
      </c>
      <c r="G33" s="484">
        <f t="shared" si="26"/>
        <v>88809.640190308928</v>
      </c>
      <c r="H33" s="453">
        <f t="shared" si="27"/>
        <v>88809.640190308928</v>
      </c>
      <c r="I33" s="473">
        <f t="shared" si="0"/>
        <v>0</v>
      </c>
      <c r="J33" s="473"/>
      <c r="K33" s="485"/>
      <c r="L33" s="476">
        <f t="shared" si="1"/>
        <v>0</v>
      </c>
      <c r="M33" s="485"/>
      <c r="N33" s="476">
        <f t="shared" si="2"/>
        <v>0</v>
      </c>
      <c r="O33" s="476">
        <f t="shared" si="3"/>
        <v>0</v>
      </c>
      <c r="P33" s="241"/>
    </row>
    <row r="34" spans="2:16">
      <c r="B34" s="160" t="str">
        <f t="shared" si="6"/>
        <v/>
      </c>
      <c r="C34" s="470">
        <f>IF(D11="","-",+C33+1)</f>
        <v>2026</v>
      </c>
      <c r="D34" s="481">
        <f>IF(F33+SUM(E$17:E33)=D$10,F33,D$10-SUM(E$17:E33))</f>
        <v>573998</v>
      </c>
      <c r="E34" s="482">
        <f>IF(+I14&lt;F33,I14,D34)</f>
        <v>23523</v>
      </c>
      <c r="F34" s="483">
        <f t="shared" si="25"/>
        <v>550475</v>
      </c>
      <c r="G34" s="484">
        <f t="shared" si="26"/>
        <v>86134.129757874267</v>
      </c>
      <c r="H34" s="453">
        <f t="shared" si="27"/>
        <v>86134.129757874267</v>
      </c>
      <c r="I34" s="473">
        <f t="shared" si="0"/>
        <v>0</v>
      </c>
      <c r="J34" s="473"/>
      <c r="K34" s="485"/>
      <c r="L34" s="476">
        <f t="shared" si="1"/>
        <v>0</v>
      </c>
      <c r="M34" s="485"/>
      <c r="N34" s="476">
        <f t="shared" si="2"/>
        <v>0</v>
      </c>
      <c r="O34" s="476">
        <f t="shared" si="3"/>
        <v>0</v>
      </c>
      <c r="P34" s="241"/>
    </row>
    <row r="35" spans="2:16">
      <c r="B35" s="160" t="str">
        <f t="shared" si="6"/>
        <v/>
      </c>
      <c r="C35" s="470">
        <f>IF(D11="","-",+C34+1)</f>
        <v>2027</v>
      </c>
      <c r="D35" s="481">
        <f>IF(F34+SUM(E$17:E34)=D$10,F34,D$10-SUM(E$17:E34))</f>
        <v>550475</v>
      </c>
      <c r="E35" s="482">
        <f>IF(+I14&lt;F34,I14,D35)</f>
        <v>23523</v>
      </c>
      <c r="F35" s="483">
        <f t="shared" si="25"/>
        <v>526952</v>
      </c>
      <c r="G35" s="484">
        <f t="shared" si="26"/>
        <v>83458.619325439591</v>
      </c>
      <c r="H35" s="453">
        <f t="shared" si="27"/>
        <v>83458.619325439591</v>
      </c>
      <c r="I35" s="473">
        <f t="shared" si="0"/>
        <v>0</v>
      </c>
      <c r="J35" s="473"/>
      <c r="K35" s="485"/>
      <c r="L35" s="476">
        <f t="shared" si="1"/>
        <v>0</v>
      </c>
      <c r="M35" s="485"/>
      <c r="N35" s="476">
        <f t="shared" si="2"/>
        <v>0</v>
      </c>
      <c r="O35" s="476">
        <f t="shared" si="3"/>
        <v>0</v>
      </c>
      <c r="P35" s="241"/>
    </row>
    <row r="36" spans="2:16">
      <c r="B36" s="160" t="str">
        <f t="shared" si="6"/>
        <v/>
      </c>
      <c r="C36" s="470">
        <f>IF(D11="","-",+C35+1)</f>
        <v>2028</v>
      </c>
      <c r="D36" s="481">
        <f>IF(F35+SUM(E$17:E35)=D$10,F35,D$10-SUM(E$17:E35))</f>
        <v>526952</v>
      </c>
      <c r="E36" s="482">
        <f>IF(+I14&lt;F35,I14,D36)</f>
        <v>23523</v>
      </c>
      <c r="F36" s="483">
        <f t="shared" si="25"/>
        <v>503429</v>
      </c>
      <c r="G36" s="484">
        <f t="shared" si="26"/>
        <v>80783.108893004915</v>
      </c>
      <c r="H36" s="453">
        <f t="shared" si="27"/>
        <v>80783.108893004915</v>
      </c>
      <c r="I36" s="473">
        <f t="shared" si="0"/>
        <v>0</v>
      </c>
      <c r="J36" s="473"/>
      <c r="K36" s="485"/>
      <c r="L36" s="476">
        <f t="shared" si="1"/>
        <v>0</v>
      </c>
      <c r="M36" s="485"/>
      <c r="N36" s="476">
        <f t="shared" si="2"/>
        <v>0</v>
      </c>
      <c r="O36" s="476">
        <f t="shared" si="3"/>
        <v>0</v>
      </c>
      <c r="P36" s="241"/>
    </row>
    <row r="37" spans="2:16">
      <c r="B37" s="160" t="str">
        <f t="shared" si="6"/>
        <v/>
      </c>
      <c r="C37" s="470">
        <f>IF(D11="","-",+C36+1)</f>
        <v>2029</v>
      </c>
      <c r="D37" s="481">
        <f>IF(F36+SUM(E$17:E36)=D$10,F36,D$10-SUM(E$17:E36))</f>
        <v>503429</v>
      </c>
      <c r="E37" s="482">
        <f>IF(+I14&lt;F36,I14,D37)</f>
        <v>23523</v>
      </c>
      <c r="F37" s="483">
        <f t="shared" si="25"/>
        <v>479906</v>
      </c>
      <c r="G37" s="484">
        <f t="shared" si="26"/>
        <v>78107.59846057024</v>
      </c>
      <c r="H37" s="453">
        <f t="shared" si="27"/>
        <v>78107.59846057024</v>
      </c>
      <c r="I37" s="473">
        <f t="shared" si="0"/>
        <v>0</v>
      </c>
      <c r="J37" s="473"/>
      <c r="K37" s="485"/>
      <c r="L37" s="476">
        <f t="shared" si="1"/>
        <v>0</v>
      </c>
      <c r="M37" s="485"/>
      <c r="N37" s="476">
        <f t="shared" si="2"/>
        <v>0</v>
      </c>
      <c r="O37" s="476">
        <f t="shared" si="3"/>
        <v>0</v>
      </c>
      <c r="P37" s="241"/>
    </row>
    <row r="38" spans="2:16">
      <c r="B38" s="160" t="str">
        <f t="shared" si="6"/>
        <v/>
      </c>
      <c r="C38" s="470">
        <f>IF(D11="","-",+C37+1)</f>
        <v>2030</v>
      </c>
      <c r="D38" s="481">
        <f>IF(F37+SUM(E$17:E37)=D$10,F37,D$10-SUM(E$17:E37))</f>
        <v>479906</v>
      </c>
      <c r="E38" s="482">
        <f>IF(+I14&lt;F37,I14,D38)</f>
        <v>23523</v>
      </c>
      <c r="F38" s="483">
        <f t="shared" si="25"/>
        <v>456383</v>
      </c>
      <c r="G38" s="484">
        <f t="shared" si="26"/>
        <v>75432.088028135564</v>
      </c>
      <c r="H38" s="453">
        <f t="shared" si="27"/>
        <v>75432.088028135564</v>
      </c>
      <c r="I38" s="473">
        <f t="shared" si="0"/>
        <v>0</v>
      </c>
      <c r="J38" s="473"/>
      <c r="K38" s="485"/>
      <c r="L38" s="476">
        <f t="shared" si="1"/>
        <v>0</v>
      </c>
      <c r="M38" s="485"/>
      <c r="N38" s="476">
        <f t="shared" si="2"/>
        <v>0</v>
      </c>
      <c r="O38" s="476">
        <f t="shared" si="3"/>
        <v>0</v>
      </c>
      <c r="P38" s="241"/>
    </row>
    <row r="39" spans="2:16">
      <c r="B39" s="160" t="str">
        <f t="shared" si="6"/>
        <v/>
      </c>
      <c r="C39" s="470">
        <f>IF(D11="","-",+C38+1)</f>
        <v>2031</v>
      </c>
      <c r="D39" s="481">
        <f>IF(F38+SUM(E$17:E38)=D$10,F38,D$10-SUM(E$17:E38))</f>
        <v>456383</v>
      </c>
      <c r="E39" s="482">
        <f>IF(+I14&lt;F38,I14,D39)</f>
        <v>23523</v>
      </c>
      <c r="F39" s="483">
        <f t="shared" si="25"/>
        <v>432860</v>
      </c>
      <c r="G39" s="484">
        <f t="shared" si="26"/>
        <v>72756.577595700888</v>
      </c>
      <c r="H39" s="453">
        <f t="shared" si="27"/>
        <v>72756.577595700888</v>
      </c>
      <c r="I39" s="473">
        <f t="shared" si="0"/>
        <v>0</v>
      </c>
      <c r="J39" s="473"/>
      <c r="K39" s="485"/>
      <c r="L39" s="476">
        <f t="shared" si="1"/>
        <v>0</v>
      </c>
      <c r="M39" s="485"/>
      <c r="N39" s="476">
        <f t="shared" si="2"/>
        <v>0</v>
      </c>
      <c r="O39" s="476">
        <f t="shared" si="3"/>
        <v>0</v>
      </c>
      <c r="P39" s="241"/>
    </row>
    <row r="40" spans="2:16">
      <c r="B40" s="160" t="str">
        <f t="shared" si="6"/>
        <v/>
      </c>
      <c r="C40" s="470">
        <f>IF(D11="","-",+C39+1)</f>
        <v>2032</v>
      </c>
      <c r="D40" s="481">
        <f>IF(F39+SUM(E$17:E39)=D$10,F39,D$10-SUM(E$17:E39))</f>
        <v>432860</v>
      </c>
      <c r="E40" s="482">
        <f>IF(+I14&lt;F39,I14,D40)</f>
        <v>23523</v>
      </c>
      <c r="F40" s="483">
        <f t="shared" si="25"/>
        <v>409337</v>
      </c>
      <c r="G40" s="484">
        <f t="shared" si="26"/>
        <v>70081.067163266227</v>
      </c>
      <c r="H40" s="453">
        <f t="shared" si="27"/>
        <v>70081.067163266227</v>
      </c>
      <c r="I40" s="473">
        <f t="shared" si="0"/>
        <v>0</v>
      </c>
      <c r="J40" s="473"/>
      <c r="K40" s="485"/>
      <c r="L40" s="476">
        <f t="shared" si="1"/>
        <v>0</v>
      </c>
      <c r="M40" s="485"/>
      <c r="N40" s="476">
        <f t="shared" si="2"/>
        <v>0</v>
      </c>
      <c r="O40" s="476">
        <f t="shared" si="3"/>
        <v>0</v>
      </c>
      <c r="P40" s="241"/>
    </row>
    <row r="41" spans="2:16">
      <c r="B41" s="160" t="str">
        <f t="shared" si="6"/>
        <v/>
      </c>
      <c r="C41" s="470">
        <f>IF(D11="","-",+C40+1)</f>
        <v>2033</v>
      </c>
      <c r="D41" s="481">
        <f>IF(F40+SUM(E$17:E40)=D$10,F40,D$10-SUM(E$17:E40))</f>
        <v>409337</v>
      </c>
      <c r="E41" s="482">
        <f>IF(+I14&lt;F40,I14,D41)</f>
        <v>23523</v>
      </c>
      <c r="F41" s="483">
        <f t="shared" si="25"/>
        <v>385814</v>
      </c>
      <c r="G41" s="484">
        <f t="shared" si="26"/>
        <v>67405.556730831551</v>
      </c>
      <c r="H41" s="453">
        <f t="shared" si="27"/>
        <v>67405.556730831551</v>
      </c>
      <c r="I41" s="473">
        <f t="shared" si="0"/>
        <v>0</v>
      </c>
      <c r="J41" s="473"/>
      <c r="K41" s="485"/>
      <c r="L41" s="476">
        <f t="shared" si="1"/>
        <v>0</v>
      </c>
      <c r="M41" s="485"/>
      <c r="N41" s="476">
        <f t="shared" si="2"/>
        <v>0</v>
      </c>
      <c r="O41" s="476">
        <f t="shared" si="3"/>
        <v>0</v>
      </c>
      <c r="P41" s="241"/>
    </row>
    <row r="42" spans="2:16">
      <c r="B42" s="160" t="str">
        <f t="shared" si="6"/>
        <v/>
      </c>
      <c r="C42" s="470">
        <f>IF(D11="","-",+C41+1)</f>
        <v>2034</v>
      </c>
      <c r="D42" s="481">
        <f>IF(F41+SUM(E$17:E41)=D$10,F41,D$10-SUM(E$17:E41))</f>
        <v>385814</v>
      </c>
      <c r="E42" s="482">
        <f>IF(+I14&lt;F41,I14,D42)</f>
        <v>23523</v>
      </c>
      <c r="F42" s="483">
        <f t="shared" si="25"/>
        <v>362291</v>
      </c>
      <c r="G42" s="484">
        <f t="shared" si="26"/>
        <v>64730.046298396883</v>
      </c>
      <c r="H42" s="453">
        <f t="shared" si="27"/>
        <v>64730.046298396883</v>
      </c>
      <c r="I42" s="473">
        <f t="shared" si="0"/>
        <v>0</v>
      </c>
      <c r="J42" s="473"/>
      <c r="K42" s="485"/>
      <c r="L42" s="476">
        <f t="shared" si="1"/>
        <v>0</v>
      </c>
      <c r="M42" s="485"/>
      <c r="N42" s="476">
        <f t="shared" si="2"/>
        <v>0</v>
      </c>
      <c r="O42" s="476">
        <f t="shared" si="3"/>
        <v>0</v>
      </c>
      <c r="P42" s="241"/>
    </row>
    <row r="43" spans="2:16">
      <c r="B43" s="160" t="str">
        <f t="shared" si="6"/>
        <v/>
      </c>
      <c r="C43" s="470">
        <f>IF(D11="","-",+C42+1)</f>
        <v>2035</v>
      </c>
      <c r="D43" s="481">
        <f>IF(F42+SUM(E$17:E42)=D$10,F42,D$10-SUM(E$17:E42))</f>
        <v>362291</v>
      </c>
      <c r="E43" s="482">
        <f>IF(+I14&lt;F42,I14,D43)</f>
        <v>23523</v>
      </c>
      <c r="F43" s="483">
        <f t="shared" si="25"/>
        <v>338768</v>
      </c>
      <c r="G43" s="484">
        <f t="shared" si="26"/>
        <v>62054.535865962207</v>
      </c>
      <c r="H43" s="453">
        <f t="shared" si="27"/>
        <v>62054.535865962207</v>
      </c>
      <c r="I43" s="473">
        <f t="shared" si="0"/>
        <v>0</v>
      </c>
      <c r="J43" s="473"/>
      <c r="K43" s="485"/>
      <c r="L43" s="476">
        <f t="shared" si="1"/>
        <v>0</v>
      </c>
      <c r="M43" s="485"/>
      <c r="N43" s="476">
        <f t="shared" si="2"/>
        <v>0</v>
      </c>
      <c r="O43" s="476">
        <f t="shared" si="3"/>
        <v>0</v>
      </c>
      <c r="P43" s="241"/>
    </row>
    <row r="44" spans="2:16">
      <c r="B44" s="160" t="str">
        <f t="shared" si="6"/>
        <v/>
      </c>
      <c r="C44" s="470">
        <f>IF(D11="","-",+C43+1)</f>
        <v>2036</v>
      </c>
      <c r="D44" s="481">
        <f>IF(F43+SUM(E$17:E43)=D$10,F43,D$10-SUM(E$17:E43))</f>
        <v>338768</v>
      </c>
      <c r="E44" s="482">
        <f>IF(+I14&lt;F43,I14,D44)</f>
        <v>23523</v>
      </c>
      <c r="F44" s="483">
        <f t="shared" si="25"/>
        <v>315245</v>
      </c>
      <c r="G44" s="484">
        <f t="shared" si="26"/>
        <v>59379.025433527539</v>
      </c>
      <c r="H44" s="453">
        <f t="shared" si="27"/>
        <v>59379.025433527539</v>
      </c>
      <c r="I44" s="473">
        <f t="shared" si="0"/>
        <v>0</v>
      </c>
      <c r="J44" s="473"/>
      <c r="K44" s="485"/>
      <c r="L44" s="476">
        <f t="shared" si="1"/>
        <v>0</v>
      </c>
      <c r="M44" s="485"/>
      <c r="N44" s="476">
        <f t="shared" si="2"/>
        <v>0</v>
      </c>
      <c r="O44" s="476">
        <f t="shared" si="3"/>
        <v>0</v>
      </c>
      <c r="P44" s="241"/>
    </row>
    <row r="45" spans="2:16">
      <c r="B45" s="160" t="str">
        <f t="shared" si="6"/>
        <v/>
      </c>
      <c r="C45" s="470">
        <f>IF(D11="","-",+C44+1)</f>
        <v>2037</v>
      </c>
      <c r="D45" s="481">
        <f>IF(F44+SUM(E$17:E44)=D$10,F44,D$10-SUM(E$17:E44))</f>
        <v>315245</v>
      </c>
      <c r="E45" s="482">
        <f>IF(+I14&lt;F44,I14,D45)</f>
        <v>23523</v>
      </c>
      <c r="F45" s="483">
        <f t="shared" si="25"/>
        <v>291722</v>
      </c>
      <c r="G45" s="484">
        <f t="shared" si="26"/>
        <v>56703.515001092863</v>
      </c>
      <c r="H45" s="453">
        <f t="shared" si="27"/>
        <v>56703.515001092863</v>
      </c>
      <c r="I45" s="473">
        <f t="shared" si="0"/>
        <v>0</v>
      </c>
      <c r="J45" s="473"/>
      <c r="K45" s="485"/>
      <c r="L45" s="476">
        <f t="shared" si="1"/>
        <v>0</v>
      </c>
      <c r="M45" s="485"/>
      <c r="N45" s="476">
        <f t="shared" si="2"/>
        <v>0</v>
      </c>
      <c r="O45" s="476">
        <f t="shared" si="3"/>
        <v>0</v>
      </c>
      <c r="P45" s="241"/>
    </row>
    <row r="46" spans="2:16">
      <c r="B46" s="160" t="str">
        <f t="shared" si="6"/>
        <v/>
      </c>
      <c r="C46" s="470">
        <f>IF(D11="","-",+C45+1)</f>
        <v>2038</v>
      </c>
      <c r="D46" s="481">
        <f>IF(F45+SUM(E$17:E45)=D$10,F45,D$10-SUM(E$17:E45))</f>
        <v>291722</v>
      </c>
      <c r="E46" s="482">
        <f>IF(+I14&lt;F45,I14,D46)</f>
        <v>23523</v>
      </c>
      <c r="F46" s="483">
        <f t="shared" si="25"/>
        <v>268199</v>
      </c>
      <c r="G46" s="484">
        <f t="shared" si="26"/>
        <v>54028.004568658187</v>
      </c>
      <c r="H46" s="453">
        <f t="shared" si="27"/>
        <v>54028.004568658187</v>
      </c>
      <c r="I46" s="473">
        <f t="shared" si="0"/>
        <v>0</v>
      </c>
      <c r="J46" s="473"/>
      <c r="K46" s="485"/>
      <c r="L46" s="476">
        <f t="shared" si="1"/>
        <v>0</v>
      </c>
      <c r="M46" s="485"/>
      <c r="N46" s="476">
        <f t="shared" si="2"/>
        <v>0</v>
      </c>
      <c r="O46" s="476">
        <f t="shared" si="3"/>
        <v>0</v>
      </c>
      <c r="P46" s="241"/>
    </row>
    <row r="47" spans="2:16">
      <c r="B47" s="160" t="str">
        <f t="shared" si="6"/>
        <v/>
      </c>
      <c r="C47" s="470">
        <f>IF(D11="","-",+C46+1)</f>
        <v>2039</v>
      </c>
      <c r="D47" s="481">
        <f>IF(F46+SUM(E$17:E46)=D$10,F46,D$10-SUM(E$17:E46))</f>
        <v>268199</v>
      </c>
      <c r="E47" s="482">
        <f>IF(+I14&lt;F46,I14,D47)</f>
        <v>23523</v>
      </c>
      <c r="F47" s="483">
        <f t="shared" si="25"/>
        <v>244676</v>
      </c>
      <c r="G47" s="484">
        <f t="shared" si="26"/>
        <v>51352.494136223519</v>
      </c>
      <c r="H47" s="453">
        <f t="shared" si="27"/>
        <v>51352.494136223519</v>
      </c>
      <c r="I47" s="473">
        <f t="shared" si="0"/>
        <v>0</v>
      </c>
      <c r="J47" s="473"/>
      <c r="K47" s="485"/>
      <c r="L47" s="476">
        <f t="shared" si="1"/>
        <v>0</v>
      </c>
      <c r="M47" s="485"/>
      <c r="N47" s="476">
        <f t="shared" si="2"/>
        <v>0</v>
      </c>
      <c r="O47" s="476">
        <f t="shared" si="3"/>
        <v>0</v>
      </c>
      <c r="P47" s="241"/>
    </row>
    <row r="48" spans="2:16">
      <c r="B48" s="160" t="str">
        <f t="shared" si="6"/>
        <v/>
      </c>
      <c r="C48" s="470">
        <f>IF(D11="","-",+C47+1)</f>
        <v>2040</v>
      </c>
      <c r="D48" s="481">
        <f>IF(F47+SUM(E$17:E47)=D$10,F47,D$10-SUM(E$17:E47))</f>
        <v>244676</v>
      </c>
      <c r="E48" s="482">
        <f>IF(+I14&lt;F47,I14,D48)</f>
        <v>23523</v>
      </c>
      <c r="F48" s="483">
        <f t="shared" si="25"/>
        <v>221153</v>
      </c>
      <c r="G48" s="484">
        <f t="shared" si="26"/>
        <v>48676.98370378885</v>
      </c>
      <c r="H48" s="453">
        <f t="shared" si="27"/>
        <v>48676.98370378885</v>
      </c>
      <c r="I48" s="473">
        <f t="shared" si="0"/>
        <v>0</v>
      </c>
      <c r="J48" s="473"/>
      <c r="K48" s="485"/>
      <c r="L48" s="476">
        <f t="shared" si="1"/>
        <v>0</v>
      </c>
      <c r="M48" s="485"/>
      <c r="N48" s="476">
        <f t="shared" si="2"/>
        <v>0</v>
      </c>
      <c r="O48" s="476">
        <f t="shared" si="3"/>
        <v>0</v>
      </c>
      <c r="P48" s="241"/>
    </row>
    <row r="49" spans="2:16">
      <c r="B49" s="160" t="str">
        <f t="shared" si="6"/>
        <v/>
      </c>
      <c r="C49" s="470">
        <f>IF(D11="","-",+C48+1)</f>
        <v>2041</v>
      </c>
      <c r="D49" s="481">
        <f>IF(F48+SUM(E$17:E48)=D$10,F48,D$10-SUM(E$17:E48))</f>
        <v>221153</v>
      </c>
      <c r="E49" s="482">
        <f>IF(+I14&lt;F48,I14,D49)</f>
        <v>23523</v>
      </c>
      <c r="F49" s="483">
        <f t="shared" ref="F49:F72" si="28">+D49-E49</f>
        <v>197630</v>
      </c>
      <c r="G49" s="484">
        <f t="shared" si="26"/>
        <v>46001.473271354174</v>
      </c>
      <c r="H49" s="453">
        <f t="shared" si="27"/>
        <v>46001.473271354174</v>
      </c>
      <c r="I49" s="473">
        <f t="shared" ref="I49:I72" si="29">H49-G49</f>
        <v>0</v>
      </c>
      <c r="J49" s="473"/>
      <c r="K49" s="485"/>
      <c r="L49" s="476">
        <f t="shared" ref="L49:L72" si="30">IF(K49&lt;&gt;0,+G49-K49,0)</f>
        <v>0</v>
      </c>
      <c r="M49" s="485"/>
      <c r="N49" s="476">
        <f t="shared" ref="N49:N72" si="31">IF(M49&lt;&gt;0,+H49-M49,0)</f>
        <v>0</v>
      </c>
      <c r="O49" s="476">
        <f t="shared" ref="O49:O72" si="32">+N49-L49</f>
        <v>0</v>
      </c>
      <c r="P49" s="241"/>
    </row>
    <row r="50" spans="2:16">
      <c r="B50" s="160" t="str">
        <f t="shared" si="6"/>
        <v/>
      </c>
      <c r="C50" s="470">
        <f>IF(D11="","-",+C49+1)</f>
        <v>2042</v>
      </c>
      <c r="D50" s="481">
        <f>IF(F49+SUM(E$17:E49)=D$10,F49,D$10-SUM(E$17:E49))</f>
        <v>197630</v>
      </c>
      <c r="E50" s="482">
        <f>IF(+I14&lt;F49,I14,D50)</f>
        <v>23523</v>
      </c>
      <c r="F50" s="483">
        <f t="shared" si="28"/>
        <v>174107</v>
      </c>
      <c r="G50" s="484">
        <f t="shared" si="26"/>
        <v>43325.962838919499</v>
      </c>
      <c r="H50" s="453">
        <f t="shared" si="27"/>
        <v>43325.962838919499</v>
      </c>
      <c r="I50" s="473">
        <f t="shared" si="29"/>
        <v>0</v>
      </c>
      <c r="J50" s="473"/>
      <c r="K50" s="485"/>
      <c r="L50" s="476">
        <f t="shared" si="30"/>
        <v>0</v>
      </c>
      <c r="M50" s="485"/>
      <c r="N50" s="476">
        <f t="shared" si="31"/>
        <v>0</v>
      </c>
      <c r="O50" s="476">
        <f t="shared" si="32"/>
        <v>0</v>
      </c>
      <c r="P50" s="241"/>
    </row>
    <row r="51" spans="2:16">
      <c r="B51" s="160" t="str">
        <f t="shared" si="6"/>
        <v/>
      </c>
      <c r="C51" s="470">
        <f>IF(D11="","-",+C50+1)</f>
        <v>2043</v>
      </c>
      <c r="D51" s="481">
        <f>IF(F50+SUM(E$17:E50)=D$10,F50,D$10-SUM(E$17:E50))</f>
        <v>174107</v>
      </c>
      <c r="E51" s="482">
        <f>IF(+I14&lt;F50,I14,D51)</f>
        <v>23523</v>
      </c>
      <c r="F51" s="483">
        <f t="shared" si="28"/>
        <v>150584</v>
      </c>
      <c r="G51" s="484">
        <f t="shared" si="26"/>
        <v>40650.45240648483</v>
      </c>
      <c r="H51" s="453">
        <f t="shared" si="27"/>
        <v>40650.45240648483</v>
      </c>
      <c r="I51" s="473">
        <f t="shared" si="29"/>
        <v>0</v>
      </c>
      <c r="J51" s="473"/>
      <c r="K51" s="485"/>
      <c r="L51" s="476">
        <f t="shared" si="30"/>
        <v>0</v>
      </c>
      <c r="M51" s="485"/>
      <c r="N51" s="476">
        <f t="shared" si="31"/>
        <v>0</v>
      </c>
      <c r="O51" s="476">
        <f t="shared" si="32"/>
        <v>0</v>
      </c>
      <c r="P51" s="241"/>
    </row>
    <row r="52" spans="2:16">
      <c r="B52" s="160" t="str">
        <f t="shared" si="6"/>
        <v/>
      </c>
      <c r="C52" s="470">
        <f>IF(D11="","-",+C51+1)</f>
        <v>2044</v>
      </c>
      <c r="D52" s="481">
        <f>IF(F51+SUM(E$17:E51)=D$10,F51,D$10-SUM(E$17:E51))</f>
        <v>150584</v>
      </c>
      <c r="E52" s="482">
        <f>IF(+I14&lt;F51,I14,D52)</f>
        <v>23523</v>
      </c>
      <c r="F52" s="483">
        <f t="shared" si="28"/>
        <v>127061</v>
      </c>
      <c r="G52" s="484">
        <f t="shared" si="26"/>
        <v>37974.941974050162</v>
      </c>
      <c r="H52" s="453">
        <f t="shared" si="27"/>
        <v>37974.941974050162</v>
      </c>
      <c r="I52" s="473">
        <f t="shared" si="29"/>
        <v>0</v>
      </c>
      <c r="J52" s="473"/>
      <c r="K52" s="485"/>
      <c r="L52" s="476">
        <f t="shared" si="30"/>
        <v>0</v>
      </c>
      <c r="M52" s="485"/>
      <c r="N52" s="476">
        <f t="shared" si="31"/>
        <v>0</v>
      </c>
      <c r="O52" s="476">
        <f t="shared" si="32"/>
        <v>0</v>
      </c>
      <c r="P52" s="241"/>
    </row>
    <row r="53" spans="2:16">
      <c r="B53" s="160" t="str">
        <f t="shared" si="6"/>
        <v/>
      </c>
      <c r="C53" s="470">
        <f>IF(D11="","-",+C52+1)</f>
        <v>2045</v>
      </c>
      <c r="D53" s="481">
        <f>IF(F52+SUM(E$17:E52)=D$10,F52,D$10-SUM(E$17:E52))</f>
        <v>127061</v>
      </c>
      <c r="E53" s="482">
        <f>IF(+I14&lt;F52,I14,D53)</f>
        <v>23523</v>
      </c>
      <c r="F53" s="483">
        <f t="shared" si="28"/>
        <v>103538</v>
      </c>
      <c r="G53" s="484">
        <f t="shared" si="26"/>
        <v>35299.431541615486</v>
      </c>
      <c r="H53" s="453">
        <f t="shared" si="27"/>
        <v>35299.431541615486</v>
      </c>
      <c r="I53" s="473">
        <f t="shared" si="29"/>
        <v>0</v>
      </c>
      <c r="J53" s="473"/>
      <c r="K53" s="485"/>
      <c r="L53" s="476">
        <f t="shared" si="30"/>
        <v>0</v>
      </c>
      <c r="M53" s="485"/>
      <c r="N53" s="476">
        <f t="shared" si="31"/>
        <v>0</v>
      </c>
      <c r="O53" s="476">
        <f t="shared" si="32"/>
        <v>0</v>
      </c>
      <c r="P53" s="241"/>
    </row>
    <row r="54" spans="2:16">
      <c r="B54" s="160" t="str">
        <f t="shared" si="6"/>
        <v/>
      </c>
      <c r="C54" s="470">
        <f>IF(D11="","-",+C53+1)</f>
        <v>2046</v>
      </c>
      <c r="D54" s="481">
        <f>IF(F53+SUM(E$17:E53)=D$10,F53,D$10-SUM(E$17:E53))</f>
        <v>103538</v>
      </c>
      <c r="E54" s="482">
        <f>IF(+I14&lt;F53,I14,D54)</f>
        <v>23523</v>
      </c>
      <c r="F54" s="483">
        <f t="shared" si="28"/>
        <v>80015</v>
      </c>
      <c r="G54" s="484">
        <f t="shared" si="26"/>
        <v>32623.921109180814</v>
      </c>
      <c r="H54" s="453">
        <f t="shared" si="27"/>
        <v>32623.921109180814</v>
      </c>
      <c r="I54" s="473">
        <f t="shared" si="29"/>
        <v>0</v>
      </c>
      <c r="J54" s="473"/>
      <c r="K54" s="485"/>
      <c r="L54" s="476">
        <f t="shared" si="30"/>
        <v>0</v>
      </c>
      <c r="M54" s="485"/>
      <c r="N54" s="476">
        <f t="shared" si="31"/>
        <v>0</v>
      </c>
      <c r="O54" s="476">
        <f t="shared" si="32"/>
        <v>0</v>
      </c>
      <c r="P54" s="241"/>
    </row>
    <row r="55" spans="2:16">
      <c r="B55" s="160" t="str">
        <f t="shared" si="6"/>
        <v/>
      </c>
      <c r="C55" s="470">
        <f>IF(D11="","-",+C54+1)</f>
        <v>2047</v>
      </c>
      <c r="D55" s="481">
        <f>IF(F54+SUM(E$17:E54)=D$10,F54,D$10-SUM(E$17:E54))</f>
        <v>80015</v>
      </c>
      <c r="E55" s="482">
        <f>IF(+I14&lt;F54,I14,D55)</f>
        <v>23523</v>
      </c>
      <c r="F55" s="483">
        <f t="shared" si="28"/>
        <v>56492</v>
      </c>
      <c r="G55" s="484">
        <f t="shared" si="26"/>
        <v>29948.410676746142</v>
      </c>
      <c r="H55" s="453">
        <f t="shared" si="27"/>
        <v>29948.410676746142</v>
      </c>
      <c r="I55" s="473">
        <f t="shared" si="29"/>
        <v>0</v>
      </c>
      <c r="J55" s="473"/>
      <c r="K55" s="485"/>
      <c r="L55" s="476">
        <f t="shared" si="30"/>
        <v>0</v>
      </c>
      <c r="M55" s="485"/>
      <c r="N55" s="476">
        <f t="shared" si="31"/>
        <v>0</v>
      </c>
      <c r="O55" s="476">
        <f t="shared" si="32"/>
        <v>0</v>
      </c>
      <c r="P55" s="241"/>
    </row>
    <row r="56" spans="2:16">
      <c r="B56" s="160" t="str">
        <f t="shared" si="6"/>
        <v/>
      </c>
      <c r="C56" s="470">
        <f>IF(D11="","-",+C55+1)</f>
        <v>2048</v>
      </c>
      <c r="D56" s="481">
        <f>IF(F55+SUM(E$17:E55)=D$10,F55,D$10-SUM(E$17:E55))</f>
        <v>56492</v>
      </c>
      <c r="E56" s="482">
        <f>IF(+I14&lt;F55,I14,D56)</f>
        <v>23523</v>
      </c>
      <c r="F56" s="483">
        <f t="shared" si="28"/>
        <v>32969</v>
      </c>
      <c r="G56" s="484">
        <f t="shared" si="26"/>
        <v>27272.90024431147</v>
      </c>
      <c r="H56" s="453">
        <f t="shared" si="27"/>
        <v>27272.90024431147</v>
      </c>
      <c r="I56" s="473">
        <f t="shared" si="29"/>
        <v>0</v>
      </c>
      <c r="J56" s="473"/>
      <c r="K56" s="485"/>
      <c r="L56" s="476">
        <f t="shared" si="30"/>
        <v>0</v>
      </c>
      <c r="M56" s="485"/>
      <c r="N56" s="476">
        <f t="shared" si="31"/>
        <v>0</v>
      </c>
      <c r="O56" s="476">
        <f t="shared" si="32"/>
        <v>0</v>
      </c>
      <c r="P56" s="241"/>
    </row>
    <row r="57" spans="2:16">
      <c r="B57" s="160" t="str">
        <f t="shared" si="6"/>
        <v/>
      </c>
      <c r="C57" s="470">
        <f>IF(D11="","-",+C56+1)</f>
        <v>2049</v>
      </c>
      <c r="D57" s="481">
        <f>IF(F56+SUM(E$17:E56)=D$10,F56,D$10-SUM(E$17:E56))</f>
        <v>32969</v>
      </c>
      <c r="E57" s="482">
        <f>IF(+I14&lt;F56,I14,D57)</f>
        <v>23523</v>
      </c>
      <c r="F57" s="483">
        <f t="shared" si="28"/>
        <v>9446</v>
      </c>
      <c r="G57" s="484">
        <f t="shared" si="26"/>
        <v>24597.389811876797</v>
      </c>
      <c r="H57" s="453">
        <f t="shared" si="27"/>
        <v>24597.389811876797</v>
      </c>
      <c r="I57" s="473">
        <f t="shared" si="29"/>
        <v>0</v>
      </c>
      <c r="J57" s="473"/>
      <c r="K57" s="485"/>
      <c r="L57" s="476">
        <f t="shared" si="30"/>
        <v>0</v>
      </c>
      <c r="M57" s="485"/>
      <c r="N57" s="476">
        <f t="shared" si="31"/>
        <v>0</v>
      </c>
      <c r="O57" s="476">
        <f t="shared" si="32"/>
        <v>0</v>
      </c>
      <c r="P57" s="241"/>
    </row>
    <row r="58" spans="2:16">
      <c r="B58" s="160" t="str">
        <f t="shared" si="6"/>
        <v/>
      </c>
      <c r="C58" s="470">
        <f>IF(D11="","-",+C57+1)</f>
        <v>2050</v>
      </c>
      <c r="D58" s="481">
        <f>IF(F57+SUM(E$17:E57)=D$10,F57,D$10-SUM(E$17:E57))</f>
        <v>9446</v>
      </c>
      <c r="E58" s="482">
        <f>IF(+I14&lt;F57,I14,D58)</f>
        <v>9446</v>
      </c>
      <c r="F58" s="483">
        <f t="shared" si="28"/>
        <v>0</v>
      </c>
      <c r="G58" s="484">
        <f t="shared" si="26"/>
        <v>9446</v>
      </c>
      <c r="H58" s="453">
        <f t="shared" si="27"/>
        <v>9446</v>
      </c>
      <c r="I58" s="473">
        <f t="shared" si="29"/>
        <v>0</v>
      </c>
      <c r="J58" s="473"/>
      <c r="K58" s="485"/>
      <c r="L58" s="476">
        <f t="shared" si="30"/>
        <v>0</v>
      </c>
      <c r="M58" s="485"/>
      <c r="N58" s="476">
        <f t="shared" si="31"/>
        <v>0</v>
      </c>
      <c r="O58" s="476">
        <f t="shared" si="32"/>
        <v>0</v>
      </c>
      <c r="P58" s="241"/>
    </row>
    <row r="59" spans="2:16">
      <c r="B59" s="160" t="str">
        <f t="shared" si="6"/>
        <v/>
      </c>
      <c r="C59" s="470">
        <f>IF(D11="","-",+C58+1)</f>
        <v>2051</v>
      </c>
      <c r="D59" s="481">
        <f>IF(F58+SUM(E$17:E58)=D$10,F58,D$10-SUM(E$17:E58))</f>
        <v>0</v>
      </c>
      <c r="E59" s="482">
        <f>IF(+I14&lt;F58,I14,D59)</f>
        <v>0</v>
      </c>
      <c r="F59" s="483">
        <f t="shared" si="28"/>
        <v>0</v>
      </c>
      <c r="G59" s="484">
        <f t="shared" si="26"/>
        <v>0</v>
      </c>
      <c r="H59" s="453">
        <f t="shared" si="27"/>
        <v>0</v>
      </c>
      <c r="I59" s="473">
        <f t="shared" si="29"/>
        <v>0</v>
      </c>
      <c r="J59" s="473"/>
      <c r="K59" s="485"/>
      <c r="L59" s="476">
        <f t="shared" si="30"/>
        <v>0</v>
      </c>
      <c r="M59" s="485"/>
      <c r="N59" s="476">
        <f t="shared" si="31"/>
        <v>0</v>
      </c>
      <c r="O59" s="476">
        <f t="shared" si="32"/>
        <v>0</v>
      </c>
      <c r="P59" s="241"/>
    </row>
    <row r="60" spans="2:16">
      <c r="B60" s="160" t="str">
        <f t="shared" si="6"/>
        <v/>
      </c>
      <c r="C60" s="470">
        <f>IF(D11="","-",+C59+1)</f>
        <v>2052</v>
      </c>
      <c r="D60" s="481">
        <f>IF(F59+SUM(E$17:E59)=D$10,F59,D$10-SUM(E$17:E59))</f>
        <v>0</v>
      </c>
      <c r="E60" s="482">
        <f>IF(+I14&lt;F59,I14,D60)</f>
        <v>0</v>
      </c>
      <c r="F60" s="483">
        <f t="shared" si="28"/>
        <v>0</v>
      </c>
      <c r="G60" s="484">
        <f t="shared" si="26"/>
        <v>0</v>
      </c>
      <c r="H60" s="453">
        <f t="shared" si="27"/>
        <v>0</v>
      </c>
      <c r="I60" s="473">
        <f t="shared" si="29"/>
        <v>0</v>
      </c>
      <c r="J60" s="473"/>
      <c r="K60" s="485"/>
      <c r="L60" s="476">
        <f t="shared" si="30"/>
        <v>0</v>
      </c>
      <c r="M60" s="485"/>
      <c r="N60" s="476">
        <f t="shared" si="31"/>
        <v>0</v>
      </c>
      <c r="O60" s="476">
        <f t="shared" si="32"/>
        <v>0</v>
      </c>
      <c r="P60" s="241"/>
    </row>
    <row r="61" spans="2:16">
      <c r="B61" s="160" t="str">
        <f t="shared" si="6"/>
        <v/>
      </c>
      <c r="C61" s="470">
        <f>IF(D11="","-",+C60+1)</f>
        <v>2053</v>
      </c>
      <c r="D61" s="481">
        <f>IF(F60+SUM(E$17:E60)=D$10,F60,D$10-SUM(E$17:E60))</f>
        <v>0</v>
      </c>
      <c r="E61" s="482">
        <f>IF(+I14&lt;F60,I14,D61)</f>
        <v>0</v>
      </c>
      <c r="F61" s="483">
        <f t="shared" si="28"/>
        <v>0</v>
      </c>
      <c r="G61" s="486">
        <f t="shared" si="26"/>
        <v>0</v>
      </c>
      <c r="H61" s="453">
        <f t="shared" si="27"/>
        <v>0</v>
      </c>
      <c r="I61" s="473">
        <f t="shared" si="29"/>
        <v>0</v>
      </c>
      <c r="J61" s="473"/>
      <c r="K61" s="485"/>
      <c r="L61" s="476">
        <f t="shared" si="30"/>
        <v>0</v>
      </c>
      <c r="M61" s="485"/>
      <c r="N61" s="476">
        <f t="shared" si="31"/>
        <v>0</v>
      </c>
      <c r="O61" s="476">
        <f t="shared" si="32"/>
        <v>0</v>
      </c>
      <c r="P61" s="241"/>
    </row>
    <row r="62" spans="2:16">
      <c r="B62" s="160" t="str">
        <f t="shared" si="6"/>
        <v/>
      </c>
      <c r="C62" s="470">
        <f>IF(D11="","-",+C61+1)</f>
        <v>2054</v>
      </c>
      <c r="D62" s="481">
        <f>IF(F61+SUM(E$17:E61)=D$10,F61,D$10-SUM(E$17:E61))</f>
        <v>0</v>
      </c>
      <c r="E62" s="482">
        <f>IF(+I14&lt;F61,I14,D62)</f>
        <v>0</v>
      </c>
      <c r="F62" s="483">
        <f t="shared" si="28"/>
        <v>0</v>
      </c>
      <c r="G62" s="486">
        <f t="shared" si="26"/>
        <v>0</v>
      </c>
      <c r="H62" s="453">
        <f t="shared" si="27"/>
        <v>0</v>
      </c>
      <c r="I62" s="473">
        <f t="shared" si="29"/>
        <v>0</v>
      </c>
      <c r="J62" s="473"/>
      <c r="K62" s="485"/>
      <c r="L62" s="476">
        <f t="shared" si="30"/>
        <v>0</v>
      </c>
      <c r="M62" s="485"/>
      <c r="N62" s="476">
        <f t="shared" si="31"/>
        <v>0</v>
      </c>
      <c r="O62" s="476">
        <f t="shared" si="32"/>
        <v>0</v>
      </c>
      <c r="P62" s="241"/>
    </row>
    <row r="63" spans="2:16">
      <c r="B63" s="160" t="str">
        <f t="shared" si="6"/>
        <v/>
      </c>
      <c r="C63" s="470">
        <f>IF(D11="","-",+C62+1)</f>
        <v>2055</v>
      </c>
      <c r="D63" s="481">
        <f>IF(F62+SUM(E$17:E62)=D$10,F62,D$10-SUM(E$17:E62))</f>
        <v>0</v>
      </c>
      <c r="E63" s="482">
        <f>IF(+I14&lt;F62,I14,D63)</f>
        <v>0</v>
      </c>
      <c r="F63" s="483">
        <f t="shared" si="28"/>
        <v>0</v>
      </c>
      <c r="G63" s="486">
        <f t="shared" si="26"/>
        <v>0</v>
      </c>
      <c r="H63" s="453">
        <f t="shared" si="27"/>
        <v>0</v>
      </c>
      <c r="I63" s="473">
        <f t="shared" si="29"/>
        <v>0</v>
      </c>
      <c r="J63" s="473"/>
      <c r="K63" s="485"/>
      <c r="L63" s="476">
        <f t="shared" si="30"/>
        <v>0</v>
      </c>
      <c r="M63" s="485"/>
      <c r="N63" s="476">
        <f t="shared" si="31"/>
        <v>0</v>
      </c>
      <c r="O63" s="476">
        <f t="shared" si="32"/>
        <v>0</v>
      </c>
      <c r="P63" s="241"/>
    </row>
    <row r="64" spans="2:16">
      <c r="B64" s="160" t="str">
        <f t="shared" si="6"/>
        <v/>
      </c>
      <c r="C64" s="470">
        <f>IF(D11="","-",+C63+1)</f>
        <v>2056</v>
      </c>
      <c r="D64" s="481">
        <f>IF(F63+SUM(E$17:E63)=D$10,F63,D$10-SUM(E$17:E63))</f>
        <v>0</v>
      </c>
      <c r="E64" s="482">
        <f>IF(+I14&lt;F63,I14,D64)</f>
        <v>0</v>
      </c>
      <c r="F64" s="483">
        <f t="shared" si="28"/>
        <v>0</v>
      </c>
      <c r="G64" s="486">
        <f t="shared" si="26"/>
        <v>0</v>
      </c>
      <c r="H64" s="453">
        <f t="shared" si="27"/>
        <v>0</v>
      </c>
      <c r="I64" s="473">
        <f t="shared" si="29"/>
        <v>0</v>
      </c>
      <c r="J64" s="473"/>
      <c r="K64" s="485"/>
      <c r="L64" s="476">
        <f t="shared" si="30"/>
        <v>0</v>
      </c>
      <c r="M64" s="485"/>
      <c r="N64" s="476">
        <f t="shared" si="31"/>
        <v>0</v>
      </c>
      <c r="O64" s="476">
        <f t="shared" si="32"/>
        <v>0</v>
      </c>
      <c r="P64" s="241"/>
    </row>
    <row r="65" spans="1:16">
      <c r="B65" s="160" t="str">
        <f t="shared" si="6"/>
        <v/>
      </c>
      <c r="C65" s="470">
        <f>IF(D11="","-",+C64+1)</f>
        <v>2057</v>
      </c>
      <c r="D65" s="481">
        <f>IF(F64+SUM(E$17:E64)=D$10,F64,D$10-SUM(E$17:E64))</f>
        <v>0</v>
      </c>
      <c r="E65" s="482">
        <f>IF(+I14&lt;F64,I14,D65)</f>
        <v>0</v>
      </c>
      <c r="F65" s="483">
        <f t="shared" si="28"/>
        <v>0</v>
      </c>
      <c r="G65" s="486">
        <f t="shared" si="26"/>
        <v>0</v>
      </c>
      <c r="H65" s="453">
        <f t="shared" si="27"/>
        <v>0</v>
      </c>
      <c r="I65" s="473">
        <f t="shared" si="29"/>
        <v>0</v>
      </c>
      <c r="J65" s="473"/>
      <c r="K65" s="485"/>
      <c r="L65" s="476">
        <f t="shared" si="30"/>
        <v>0</v>
      </c>
      <c r="M65" s="485"/>
      <c r="N65" s="476">
        <f t="shared" si="31"/>
        <v>0</v>
      </c>
      <c r="O65" s="476">
        <f t="shared" si="32"/>
        <v>0</v>
      </c>
      <c r="P65" s="241"/>
    </row>
    <row r="66" spans="1:16">
      <c r="B66" s="160" t="str">
        <f t="shared" si="6"/>
        <v/>
      </c>
      <c r="C66" s="470">
        <f>IF(D11="","-",+C65+1)</f>
        <v>2058</v>
      </c>
      <c r="D66" s="481">
        <f>IF(F65+SUM(E$17:E65)=D$10,F65,D$10-SUM(E$17:E65))</f>
        <v>0</v>
      </c>
      <c r="E66" s="482">
        <f>IF(+I14&lt;F65,I14,D66)</f>
        <v>0</v>
      </c>
      <c r="F66" s="483">
        <f t="shared" si="28"/>
        <v>0</v>
      </c>
      <c r="G66" s="486">
        <f t="shared" si="26"/>
        <v>0</v>
      </c>
      <c r="H66" s="453">
        <f t="shared" si="27"/>
        <v>0</v>
      </c>
      <c r="I66" s="473">
        <f t="shared" si="29"/>
        <v>0</v>
      </c>
      <c r="J66" s="473"/>
      <c r="K66" s="485"/>
      <c r="L66" s="476">
        <f t="shared" si="30"/>
        <v>0</v>
      </c>
      <c r="M66" s="485"/>
      <c r="N66" s="476">
        <f t="shared" si="31"/>
        <v>0</v>
      </c>
      <c r="O66" s="476">
        <f t="shared" si="32"/>
        <v>0</v>
      </c>
      <c r="P66" s="241"/>
    </row>
    <row r="67" spans="1:16">
      <c r="B67" s="160" t="str">
        <f t="shared" si="6"/>
        <v/>
      </c>
      <c r="C67" s="470">
        <f>IF(D11="","-",+C66+1)</f>
        <v>2059</v>
      </c>
      <c r="D67" s="481">
        <f>IF(F66+SUM(E$17:E66)=D$10,F66,D$10-SUM(E$17:E66))</f>
        <v>0</v>
      </c>
      <c r="E67" s="482">
        <f>IF(+I14&lt;F66,I14,D67)</f>
        <v>0</v>
      </c>
      <c r="F67" s="483">
        <f t="shared" si="28"/>
        <v>0</v>
      </c>
      <c r="G67" s="486">
        <f t="shared" si="26"/>
        <v>0</v>
      </c>
      <c r="H67" s="453">
        <f t="shared" si="27"/>
        <v>0</v>
      </c>
      <c r="I67" s="473">
        <f t="shared" si="29"/>
        <v>0</v>
      </c>
      <c r="J67" s="473"/>
      <c r="K67" s="485"/>
      <c r="L67" s="476">
        <f t="shared" si="30"/>
        <v>0</v>
      </c>
      <c r="M67" s="485"/>
      <c r="N67" s="476">
        <f t="shared" si="31"/>
        <v>0</v>
      </c>
      <c r="O67" s="476">
        <f t="shared" si="32"/>
        <v>0</v>
      </c>
      <c r="P67" s="241"/>
    </row>
    <row r="68" spans="1:16">
      <c r="B68" s="160" t="str">
        <f t="shared" si="6"/>
        <v/>
      </c>
      <c r="C68" s="470">
        <f>IF(D11="","-",+C67+1)</f>
        <v>2060</v>
      </c>
      <c r="D68" s="481">
        <f>IF(F67+SUM(E$17:E67)=D$10,F67,D$10-SUM(E$17:E67))</f>
        <v>0</v>
      </c>
      <c r="E68" s="482">
        <f>IF(+I14&lt;F67,I14,D68)</f>
        <v>0</v>
      </c>
      <c r="F68" s="483">
        <f t="shared" si="28"/>
        <v>0</v>
      </c>
      <c r="G68" s="486">
        <f t="shared" si="26"/>
        <v>0</v>
      </c>
      <c r="H68" s="453">
        <f t="shared" si="27"/>
        <v>0</v>
      </c>
      <c r="I68" s="473">
        <f t="shared" si="29"/>
        <v>0</v>
      </c>
      <c r="J68" s="473"/>
      <c r="K68" s="485"/>
      <c r="L68" s="476">
        <f t="shared" si="30"/>
        <v>0</v>
      </c>
      <c r="M68" s="485"/>
      <c r="N68" s="476">
        <f t="shared" si="31"/>
        <v>0</v>
      </c>
      <c r="O68" s="476">
        <f t="shared" si="32"/>
        <v>0</v>
      </c>
      <c r="P68" s="241"/>
    </row>
    <row r="69" spans="1:16">
      <c r="B69" s="160" t="str">
        <f t="shared" si="6"/>
        <v/>
      </c>
      <c r="C69" s="470">
        <f>IF(D11="","-",+C68+1)</f>
        <v>2061</v>
      </c>
      <c r="D69" s="481">
        <f>IF(F68+SUM(E$17:E68)=D$10,F68,D$10-SUM(E$17:E68))</f>
        <v>0</v>
      </c>
      <c r="E69" s="482">
        <f>IF(+I14&lt;F68,I14,D69)</f>
        <v>0</v>
      </c>
      <c r="F69" s="483">
        <f t="shared" si="28"/>
        <v>0</v>
      </c>
      <c r="G69" s="486">
        <f t="shared" si="26"/>
        <v>0</v>
      </c>
      <c r="H69" s="453">
        <f t="shared" si="27"/>
        <v>0</v>
      </c>
      <c r="I69" s="473">
        <f t="shared" si="29"/>
        <v>0</v>
      </c>
      <c r="J69" s="473"/>
      <c r="K69" s="485"/>
      <c r="L69" s="476">
        <f t="shared" si="30"/>
        <v>0</v>
      </c>
      <c r="M69" s="485"/>
      <c r="N69" s="476">
        <f t="shared" si="31"/>
        <v>0</v>
      </c>
      <c r="O69" s="476">
        <f t="shared" si="32"/>
        <v>0</v>
      </c>
      <c r="P69" s="241"/>
    </row>
    <row r="70" spans="1:16">
      <c r="B70" s="160" t="str">
        <f t="shared" si="6"/>
        <v/>
      </c>
      <c r="C70" s="470">
        <f>IF(D11="","-",+C69+1)</f>
        <v>2062</v>
      </c>
      <c r="D70" s="481">
        <f>IF(F69+SUM(E$17:E69)=D$10,F69,D$10-SUM(E$17:E69))</f>
        <v>0</v>
      </c>
      <c r="E70" s="482">
        <f>IF(+I14&lt;F69,I14,D70)</f>
        <v>0</v>
      </c>
      <c r="F70" s="483">
        <f t="shared" si="28"/>
        <v>0</v>
      </c>
      <c r="G70" s="486">
        <f t="shared" si="26"/>
        <v>0</v>
      </c>
      <c r="H70" s="453">
        <f t="shared" si="27"/>
        <v>0</v>
      </c>
      <c r="I70" s="473">
        <f t="shared" si="29"/>
        <v>0</v>
      </c>
      <c r="J70" s="473"/>
      <c r="K70" s="485"/>
      <c r="L70" s="476">
        <f t="shared" si="30"/>
        <v>0</v>
      </c>
      <c r="M70" s="485"/>
      <c r="N70" s="476">
        <f t="shared" si="31"/>
        <v>0</v>
      </c>
      <c r="O70" s="476">
        <f t="shared" si="32"/>
        <v>0</v>
      </c>
      <c r="P70" s="241"/>
    </row>
    <row r="71" spans="1:16">
      <c r="B71" s="160" t="str">
        <f t="shared" si="6"/>
        <v/>
      </c>
      <c r="C71" s="470">
        <f>IF(D11="","-",+C70+1)</f>
        <v>2063</v>
      </c>
      <c r="D71" s="481">
        <f>IF(F70+SUM(E$17:E70)=D$10,F70,D$10-SUM(E$17:E70))</f>
        <v>0</v>
      </c>
      <c r="E71" s="482">
        <f>IF(+I14&lt;F70,I14,D71)</f>
        <v>0</v>
      </c>
      <c r="F71" s="483">
        <f t="shared" si="28"/>
        <v>0</v>
      </c>
      <c r="G71" s="486">
        <f t="shared" si="26"/>
        <v>0</v>
      </c>
      <c r="H71" s="453">
        <f t="shared" si="27"/>
        <v>0</v>
      </c>
      <c r="I71" s="473">
        <f t="shared" si="29"/>
        <v>0</v>
      </c>
      <c r="J71" s="473"/>
      <c r="K71" s="485"/>
      <c r="L71" s="476">
        <f t="shared" si="30"/>
        <v>0</v>
      </c>
      <c r="M71" s="485"/>
      <c r="N71" s="476">
        <f t="shared" si="31"/>
        <v>0</v>
      </c>
      <c r="O71" s="476">
        <f t="shared" si="32"/>
        <v>0</v>
      </c>
      <c r="P71" s="241"/>
    </row>
    <row r="72" spans="1:16" ht="13.5" thickBot="1">
      <c r="B72" s="160" t="str">
        <f t="shared" si="6"/>
        <v/>
      </c>
      <c r="C72" s="487">
        <f>IF(D11="","-",+C71+1)</f>
        <v>2064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8"/>
        <v>0</v>
      </c>
      <c r="G72" s="490">
        <f t="shared" si="26"/>
        <v>0</v>
      </c>
      <c r="H72" s="433">
        <f t="shared" si="27"/>
        <v>0</v>
      </c>
      <c r="I72" s="491">
        <f t="shared" si="29"/>
        <v>0</v>
      </c>
      <c r="J72" s="473"/>
      <c r="K72" s="492"/>
      <c r="L72" s="493">
        <f t="shared" si="30"/>
        <v>0</v>
      </c>
      <c r="M72" s="492"/>
      <c r="N72" s="493">
        <f t="shared" si="31"/>
        <v>0</v>
      </c>
      <c r="O72" s="493">
        <f t="shared" si="32"/>
        <v>0</v>
      </c>
      <c r="P72" s="241"/>
    </row>
    <row r="73" spans="1:16">
      <c r="C73" s="345" t="s">
        <v>77</v>
      </c>
      <c r="D73" s="346"/>
      <c r="E73" s="346">
        <f>SUM(E17:E72)</f>
        <v>893858</v>
      </c>
      <c r="F73" s="346"/>
      <c r="G73" s="346">
        <f>SUM(G17:G72)</f>
        <v>3210914.7344811494</v>
      </c>
      <c r="H73" s="346">
        <f>SUM(H17:H72)</f>
        <v>3210914.7344811494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1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1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1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1:16" ht="18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495"/>
      <c r="P77" s="241"/>
    </row>
    <row r="78" spans="1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1:16" ht="15">
      <c r="A79" s="496"/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</row>
    <row r="80" spans="1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497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95" t="str">
        <f ca="1">P1</f>
        <v>PSO Project 1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90708.453283775307</v>
      </c>
      <c r="N87" s="506">
        <f>IF(J92&lt;D11,0,VLOOKUP(J92,C17:O72,11))</f>
        <v>90708.453283775307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94196.213236584284</v>
      </c>
      <c r="N88" s="510">
        <f>IF(J92&lt;D11,0,VLOOKUP(J92,C99:P154,7))</f>
        <v>94196.213236584284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Riverside-Glenpool (81-523) Reconductor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3487.7599528089777</v>
      </c>
      <c r="N89" s="515">
        <f>+N88-N87</f>
        <v>3487.7599528089777</v>
      </c>
      <c r="O89" s="516">
        <f>+O88-O87</f>
        <v>0</v>
      </c>
      <c r="P89" s="231"/>
    </row>
    <row r="90" spans="1:16" ht="13.5" thickBot="1">
      <c r="C90" s="494"/>
      <c r="D90" s="517" t="str">
        <f>D8</f>
        <v/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TP2006087</v>
      </c>
      <c r="E91" s="520"/>
      <c r="F91" s="520"/>
      <c r="G91" s="520"/>
      <c r="H91" s="520"/>
      <c r="I91" s="520"/>
      <c r="J91" s="521"/>
      <c r="K91" s="522"/>
      <c r="P91" s="443"/>
    </row>
    <row r="92" spans="1:16">
      <c r="C92" s="444" t="s">
        <v>226</v>
      </c>
      <c r="D92" s="445">
        <v>893858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f>IF(D11=I10,"",D11)</f>
        <v>2009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f>IF(D11=I10,"",D12)</f>
        <v>6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21801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59" t="s">
        <v>211</v>
      </c>
      <c r="M97" s="461" t="s">
        <v>99</v>
      </c>
      <c r="N97" s="459" t="s">
        <v>211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2009</v>
      </c>
      <c r="D99" s="471">
        <v>0</v>
      </c>
      <c r="E99" s="478">
        <v>7981</v>
      </c>
      <c r="F99" s="477">
        <v>885877</v>
      </c>
      <c r="G99" s="535">
        <v>442938.5</v>
      </c>
      <c r="H99" s="536">
        <v>72742</v>
      </c>
      <c r="I99" s="537">
        <v>72742</v>
      </c>
      <c r="J99" s="476">
        <f t="shared" ref="J99:J130" si="33">+I99-H99</f>
        <v>0</v>
      </c>
      <c r="K99" s="476"/>
      <c r="L99" s="474">
        <f t="shared" ref="L99:L104" si="34">H99</f>
        <v>72742</v>
      </c>
      <c r="M99" s="475">
        <f t="shared" ref="M99:M130" si="35">IF(L99&lt;&gt;0,+H99-L99,0)</f>
        <v>0</v>
      </c>
      <c r="N99" s="474">
        <f t="shared" ref="N99:N104" si="36">I99</f>
        <v>72742</v>
      </c>
      <c r="O99" s="475">
        <f t="shared" ref="O99:O130" si="37">IF(N99&lt;&gt;0,+I99-N99,0)</f>
        <v>0</v>
      </c>
      <c r="P99" s="475">
        <f t="shared" ref="P99:P130" si="38">+O99-M99</f>
        <v>0</v>
      </c>
    </row>
    <row r="100" spans="1:16">
      <c r="B100" s="160" t="str">
        <f>IF(D100=F99,"","IU")</f>
        <v/>
      </c>
      <c r="C100" s="470">
        <f>IF(D93="","-",+C99+1)</f>
        <v>2010</v>
      </c>
      <c r="D100" s="471">
        <v>885877</v>
      </c>
      <c r="E100" s="478">
        <v>17527</v>
      </c>
      <c r="F100" s="477">
        <v>868350</v>
      </c>
      <c r="G100" s="477">
        <v>877113.5</v>
      </c>
      <c r="H100" s="536">
        <v>158580.20000000001</v>
      </c>
      <c r="I100" s="537">
        <v>158580.20000000001</v>
      </c>
      <c r="J100" s="476">
        <f t="shared" si="33"/>
        <v>0</v>
      </c>
      <c r="K100" s="476"/>
      <c r="L100" s="474">
        <f t="shared" si="34"/>
        <v>158580.20000000001</v>
      </c>
      <c r="M100" s="476">
        <f t="shared" si="35"/>
        <v>0</v>
      </c>
      <c r="N100" s="474">
        <f t="shared" si="36"/>
        <v>158580.20000000001</v>
      </c>
      <c r="O100" s="476">
        <f t="shared" si="37"/>
        <v>0</v>
      </c>
      <c r="P100" s="476">
        <f t="shared" si="38"/>
        <v>0</v>
      </c>
    </row>
    <row r="101" spans="1:16">
      <c r="B101" s="160" t="str">
        <f t="shared" ref="B101:B154" si="39">IF(D101=F100,"","IU")</f>
        <v/>
      </c>
      <c r="C101" s="480">
        <f>IF(D93="","-",+C100+1)</f>
        <v>2011</v>
      </c>
      <c r="D101" s="471">
        <v>868350</v>
      </c>
      <c r="E101" s="478">
        <v>17190</v>
      </c>
      <c r="F101" s="477">
        <v>851160</v>
      </c>
      <c r="G101" s="477">
        <v>859755</v>
      </c>
      <c r="H101" s="478">
        <v>137395.30233025842</v>
      </c>
      <c r="I101" s="479">
        <v>137395.30233025842</v>
      </c>
      <c r="J101" s="476">
        <f t="shared" si="33"/>
        <v>0</v>
      </c>
      <c r="K101" s="476"/>
      <c r="L101" s="538">
        <f t="shared" si="34"/>
        <v>137395.30233025842</v>
      </c>
      <c r="M101" s="539">
        <f t="shared" si="35"/>
        <v>0</v>
      </c>
      <c r="N101" s="538">
        <f t="shared" si="36"/>
        <v>137395.30233025842</v>
      </c>
      <c r="O101" s="476">
        <f t="shared" si="37"/>
        <v>0</v>
      </c>
      <c r="P101" s="476">
        <f t="shared" si="38"/>
        <v>0</v>
      </c>
    </row>
    <row r="102" spans="1:16">
      <c r="B102" s="160" t="str">
        <f t="shared" si="39"/>
        <v/>
      </c>
      <c r="C102" s="480">
        <f>IF(D93="","-",+C101+1)</f>
        <v>2012</v>
      </c>
      <c r="D102" s="471">
        <v>851160</v>
      </c>
      <c r="E102" s="478">
        <v>17190</v>
      </c>
      <c r="F102" s="477">
        <v>833970</v>
      </c>
      <c r="G102" s="477">
        <v>842565</v>
      </c>
      <c r="H102" s="478">
        <v>138397.59402070014</v>
      </c>
      <c r="I102" s="479">
        <v>138397.59402070014</v>
      </c>
      <c r="J102" s="476">
        <v>0</v>
      </c>
      <c r="K102" s="476"/>
      <c r="L102" s="538">
        <f t="shared" si="34"/>
        <v>138397.59402070014</v>
      </c>
      <c r="M102" s="539">
        <f t="shared" ref="M102:M107" si="40">IF(L102&lt;&gt;0,+H102-L102,0)</f>
        <v>0</v>
      </c>
      <c r="N102" s="538">
        <f t="shared" si="36"/>
        <v>138397.59402070014</v>
      </c>
      <c r="O102" s="476">
        <f t="shared" ref="O102:O107" si="41">IF(N102&lt;&gt;0,+I102-N102,0)</f>
        <v>0</v>
      </c>
      <c r="P102" s="476">
        <f t="shared" ref="P102:P107" si="42">+O102-M102</f>
        <v>0</v>
      </c>
    </row>
    <row r="103" spans="1:16">
      <c r="B103" s="160" t="str">
        <f t="shared" si="39"/>
        <v/>
      </c>
      <c r="C103" s="470">
        <f>IF(D93="","-",+C102+1)</f>
        <v>2013</v>
      </c>
      <c r="D103" s="471">
        <v>833970</v>
      </c>
      <c r="E103" s="478">
        <v>17190</v>
      </c>
      <c r="F103" s="477">
        <v>816780</v>
      </c>
      <c r="G103" s="477">
        <v>825375</v>
      </c>
      <c r="H103" s="478">
        <v>135994.14234787846</v>
      </c>
      <c r="I103" s="479">
        <v>135994.14234787846</v>
      </c>
      <c r="J103" s="476">
        <v>0</v>
      </c>
      <c r="K103" s="476"/>
      <c r="L103" s="538">
        <f t="shared" si="34"/>
        <v>135994.14234787846</v>
      </c>
      <c r="M103" s="539">
        <f t="shared" si="40"/>
        <v>0</v>
      </c>
      <c r="N103" s="538">
        <f t="shared" si="36"/>
        <v>135994.14234787846</v>
      </c>
      <c r="O103" s="476">
        <f t="shared" si="41"/>
        <v>0</v>
      </c>
      <c r="P103" s="476">
        <f t="shared" si="42"/>
        <v>0</v>
      </c>
    </row>
    <row r="104" spans="1:16">
      <c r="B104" s="160" t="str">
        <f t="shared" si="39"/>
        <v/>
      </c>
      <c r="C104" s="470">
        <f>IF(D93="","-",+C103+1)</f>
        <v>2014</v>
      </c>
      <c r="D104" s="471">
        <v>816780</v>
      </c>
      <c r="E104" s="478">
        <v>17190</v>
      </c>
      <c r="F104" s="477">
        <v>799590</v>
      </c>
      <c r="G104" s="477">
        <v>808185</v>
      </c>
      <c r="H104" s="478">
        <v>130817.50733584017</v>
      </c>
      <c r="I104" s="479">
        <v>130817.50733584017</v>
      </c>
      <c r="J104" s="476">
        <v>0</v>
      </c>
      <c r="K104" s="476"/>
      <c r="L104" s="538">
        <f t="shared" si="34"/>
        <v>130817.50733584017</v>
      </c>
      <c r="M104" s="539">
        <f t="shared" si="40"/>
        <v>0</v>
      </c>
      <c r="N104" s="538">
        <f t="shared" si="36"/>
        <v>130817.50733584017</v>
      </c>
      <c r="O104" s="476">
        <f t="shared" si="41"/>
        <v>0</v>
      </c>
      <c r="P104" s="476">
        <f t="shared" si="42"/>
        <v>0</v>
      </c>
    </row>
    <row r="105" spans="1:16">
      <c r="B105" s="160" t="str">
        <f t="shared" si="39"/>
        <v/>
      </c>
      <c r="C105" s="470">
        <f>IF(D93="","-",+C104+1)</f>
        <v>2015</v>
      </c>
      <c r="D105" s="471">
        <v>799590</v>
      </c>
      <c r="E105" s="478">
        <v>17190</v>
      </c>
      <c r="F105" s="477">
        <v>782400</v>
      </c>
      <c r="G105" s="477">
        <v>790995</v>
      </c>
      <c r="H105" s="478">
        <v>125114.9078367878</v>
      </c>
      <c r="I105" s="479">
        <v>125114.9078367878</v>
      </c>
      <c r="J105" s="476">
        <f t="shared" si="33"/>
        <v>0</v>
      </c>
      <c r="K105" s="476"/>
      <c r="L105" s="538">
        <f t="shared" ref="L105:L110" si="43">H105</f>
        <v>125114.9078367878</v>
      </c>
      <c r="M105" s="539">
        <f t="shared" si="40"/>
        <v>0</v>
      </c>
      <c r="N105" s="538">
        <f t="shared" ref="N105:N110" si="44">I105</f>
        <v>125114.9078367878</v>
      </c>
      <c r="O105" s="476">
        <f t="shared" si="41"/>
        <v>0</v>
      </c>
      <c r="P105" s="476">
        <f t="shared" si="42"/>
        <v>0</v>
      </c>
    </row>
    <row r="106" spans="1:16">
      <c r="B106" s="160" t="str">
        <f t="shared" si="39"/>
        <v/>
      </c>
      <c r="C106" s="470">
        <f>IF(D93="","-",+C105+1)</f>
        <v>2016</v>
      </c>
      <c r="D106" s="471">
        <v>782400</v>
      </c>
      <c r="E106" s="478">
        <v>19432</v>
      </c>
      <c r="F106" s="477">
        <v>762968</v>
      </c>
      <c r="G106" s="477">
        <v>772684</v>
      </c>
      <c r="H106" s="478">
        <v>119043.13650322839</v>
      </c>
      <c r="I106" s="479">
        <v>119043.13650322839</v>
      </c>
      <c r="J106" s="476">
        <f t="shared" si="33"/>
        <v>0</v>
      </c>
      <c r="K106" s="476"/>
      <c r="L106" s="538">
        <f t="shared" si="43"/>
        <v>119043.13650322839</v>
      </c>
      <c r="M106" s="539">
        <f t="shared" si="40"/>
        <v>0</v>
      </c>
      <c r="N106" s="538">
        <f t="shared" si="44"/>
        <v>119043.13650322839</v>
      </c>
      <c r="O106" s="476">
        <f t="shared" si="41"/>
        <v>0</v>
      </c>
      <c r="P106" s="476">
        <f t="shared" si="42"/>
        <v>0</v>
      </c>
    </row>
    <row r="107" spans="1:16">
      <c r="B107" s="160" t="str">
        <f t="shared" si="39"/>
        <v/>
      </c>
      <c r="C107" s="470">
        <f>IF(D93="","-",+C106+1)</f>
        <v>2017</v>
      </c>
      <c r="D107" s="471">
        <v>762968</v>
      </c>
      <c r="E107" s="478">
        <v>19432</v>
      </c>
      <c r="F107" s="477">
        <v>743536</v>
      </c>
      <c r="G107" s="477">
        <v>753252</v>
      </c>
      <c r="H107" s="478">
        <v>114983.91552559278</v>
      </c>
      <c r="I107" s="479">
        <v>114983.91552559278</v>
      </c>
      <c r="J107" s="476">
        <f t="shared" si="33"/>
        <v>0</v>
      </c>
      <c r="K107" s="476"/>
      <c r="L107" s="538">
        <f t="shared" si="43"/>
        <v>114983.91552559278</v>
      </c>
      <c r="M107" s="539">
        <f t="shared" si="40"/>
        <v>0</v>
      </c>
      <c r="N107" s="538">
        <f t="shared" si="44"/>
        <v>114983.91552559278</v>
      </c>
      <c r="O107" s="476">
        <f t="shared" si="41"/>
        <v>0</v>
      </c>
      <c r="P107" s="476">
        <f t="shared" si="42"/>
        <v>0</v>
      </c>
    </row>
    <row r="108" spans="1:16">
      <c r="B108" s="160" t="str">
        <f t="shared" si="39"/>
        <v/>
      </c>
      <c r="C108" s="470">
        <f>IF(D93="","-",+C107+1)</f>
        <v>2018</v>
      </c>
      <c r="D108" s="471">
        <v>743536</v>
      </c>
      <c r="E108" s="478">
        <v>20787</v>
      </c>
      <c r="F108" s="477">
        <v>722749</v>
      </c>
      <c r="G108" s="477">
        <v>733142.5</v>
      </c>
      <c r="H108" s="478">
        <v>96106.810302403712</v>
      </c>
      <c r="I108" s="479">
        <v>96106.810302403712</v>
      </c>
      <c r="J108" s="476">
        <f t="shared" si="33"/>
        <v>0</v>
      </c>
      <c r="K108" s="476"/>
      <c r="L108" s="538">
        <f t="shared" si="43"/>
        <v>96106.810302403712</v>
      </c>
      <c r="M108" s="539">
        <f t="shared" ref="M108" si="45">IF(L108&lt;&gt;0,+H108-L108,0)</f>
        <v>0</v>
      </c>
      <c r="N108" s="538">
        <f t="shared" si="44"/>
        <v>96106.810302403712</v>
      </c>
      <c r="O108" s="476">
        <f t="shared" ref="O108" si="46">IF(N108&lt;&gt;0,+I108-N108,0)</f>
        <v>0</v>
      </c>
      <c r="P108" s="476">
        <f t="shared" ref="P108" si="47">+O108-M108</f>
        <v>0</v>
      </c>
    </row>
    <row r="109" spans="1:16">
      <c r="B109" s="160" t="str">
        <f t="shared" si="39"/>
        <v/>
      </c>
      <c r="C109" s="470">
        <f>IF(D93="","-",+C108+1)</f>
        <v>2019</v>
      </c>
      <c r="D109" s="471">
        <v>722749</v>
      </c>
      <c r="E109" s="478">
        <v>21801</v>
      </c>
      <c r="F109" s="477">
        <v>700948</v>
      </c>
      <c r="G109" s="477">
        <v>711848.5</v>
      </c>
      <c r="H109" s="478">
        <v>95202.564794457576</v>
      </c>
      <c r="I109" s="479">
        <v>95202.564794457576</v>
      </c>
      <c r="J109" s="476">
        <f t="shared" si="33"/>
        <v>0</v>
      </c>
      <c r="K109" s="476"/>
      <c r="L109" s="538">
        <f t="shared" si="43"/>
        <v>95202.564794457576</v>
      </c>
      <c r="M109" s="539">
        <f t="shared" ref="M109:M110" si="48">IF(L109&lt;&gt;0,+H109-L109,0)</f>
        <v>0</v>
      </c>
      <c r="N109" s="538">
        <f t="shared" si="44"/>
        <v>95202.564794457576</v>
      </c>
      <c r="O109" s="476">
        <f t="shared" si="37"/>
        <v>0</v>
      </c>
      <c r="P109" s="476">
        <f t="shared" si="38"/>
        <v>0</v>
      </c>
    </row>
    <row r="110" spans="1:16">
      <c r="B110" s="160" t="str">
        <f t="shared" si="39"/>
        <v/>
      </c>
      <c r="C110" s="470">
        <f>IF(D93="","-",+C109+1)</f>
        <v>2020</v>
      </c>
      <c r="D110" s="471">
        <v>700948</v>
      </c>
      <c r="E110" s="478">
        <v>20787</v>
      </c>
      <c r="F110" s="477">
        <v>680161</v>
      </c>
      <c r="G110" s="477">
        <v>690554.5</v>
      </c>
      <c r="H110" s="478">
        <v>100406.03532694498</v>
      </c>
      <c r="I110" s="479">
        <v>100406.03532694498</v>
      </c>
      <c r="J110" s="476">
        <f t="shared" si="33"/>
        <v>0</v>
      </c>
      <c r="K110" s="476"/>
      <c r="L110" s="538">
        <f t="shared" si="43"/>
        <v>100406.03532694498</v>
      </c>
      <c r="M110" s="539">
        <f t="shared" si="48"/>
        <v>0</v>
      </c>
      <c r="N110" s="538">
        <f t="shared" si="44"/>
        <v>100406.03532694498</v>
      </c>
      <c r="O110" s="476">
        <f t="shared" si="37"/>
        <v>0</v>
      </c>
      <c r="P110" s="476">
        <f t="shared" si="38"/>
        <v>0</v>
      </c>
    </row>
    <row r="111" spans="1:16">
      <c r="B111" s="160" t="str">
        <f t="shared" si="39"/>
        <v/>
      </c>
      <c r="C111" s="633">
        <f>IF(D93="","-",+C110+1)</f>
        <v>2021</v>
      </c>
      <c r="D111" s="471">
        <v>680161</v>
      </c>
      <c r="E111" s="478">
        <v>21801</v>
      </c>
      <c r="F111" s="477">
        <v>658360</v>
      </c>
      <c r="G111" s="477">
        <v>669260.5</v>
      </c>
      <c r="H111" s="478">
        <v>97958.021560633977</v>
      </c>
      <c r="I111" s="479">
        <v>97958.021560633977</v>
      </c>
      <c r="J111" s="476">
        <v>0</v>
      </c>
      <c r="K111" s="476"/>
      <c r="L111" s="538">
        <f t="shared" ref="L111" si="49">H111</f>
        <v>97958.021560633977</v>
      </c>
      <c r="M111" s="539">
        <f t="shared" ref="M111" si="50">IF(L111&lt;&gt;0,+H111-L111,0)</f>
        <v>0</v>
      </c>
      <c r="N111" s="538">
        <f t="shared" ref="N111" si="51">I111</f>
        <v>97958.021560633977</v>
      </c>
      <c r="O111" s="476">
        <f t="shared" ref="O111" si="52">IF(N111&lt;&gt;0,+I111-N111,0)</f>
        <v>0</v>
      </c>
      <c r="P111" s="476">
        <f t="shared" ref="P111" si="53">+O111-M111</f>
        <v>0</v>
      </c>
    </row>
    <row r="112" spans="1:16">
      <c r="B112" s="160" t="str">
        <f t="shared" si="39"/>
        <v/>
      </c>
      <c r="C112" s="631">
        <f>IF(D93="","-",+C111+1)</f>
        <v>2022</v>
      </c>
      <c r="D112" s="345">
        <v>658360</v>
      </c>
      <c r="E112" s="484">
        <v>22919</v>
      </c>
      <c r="F112" s="483">
        <v>635441</v>
      </c>
      <c r="G112" s="483">
        <v>646900.5</v>
      </c>
      <c r="H112" s="486">
        <v>94196.213236584284</v>
      </c>
      <c r="I112" s="540">
        <v>94196.213236584284</v>
      </c>
      <c r="J112" s="476">
        <f t="shared" si="33"/>
        <v>0</v>
      </c>
      <c r="K112" s="476"/>
      <c r="L112" s="485"/>
      <c r="M112" s="476">
        <f t="shared" si="35"/>
        <v>0</v>
      </c>
      <c r="N112" s="485"/>
      <c r="O112" s="476">
        <f t="shared" si="37"/>
        <v>0</v>
      </c>
      <c r="P112" s="476">
        <f t="shared" si="38"/>
        <v>0</v>
      </c>
    </row>
    <row r="113" spans="2:16">
      <c r="B113" s="160" t="str">
        <f t="shared" si="39"/>
        <v/>
      </c>
      <c r="C113" s="470">
        <f>IF(D93="","-",+C112+1)</f>
        <v>2023</v>
      </c>
      <c r="D113" s="345">
        <f>IF(F112+SUM(E$99:E112)=D$92,F112,D$92-SUM(E$99:E112))</f>
        <v>635441</v>
      </c>
      <c r="E113" s="484">
        <f>IF(+J96&lt;F112,J96,D113)</f>
        <v>21801</v>
      </c>
      <c r="F113" s="483">
        <f t="shared" ref="F113:F130" si="54">+D113-E113</f>
        <v>613640</v>
      </c>
      <c r="G113" s="483">
        <f t="shared" ref="G113:G130" si="55">+(F113+D113)/2</f>
        <v>624540.5</v>
      </c>
      <c r="H113" s="486">
        <f t="shared" ref="H113:H131" si="56">+J$94*G113+E113</f>
        <v>92869.207856266919</v>
      </c>
      <c r="I113" s="540">
        <f t="shared" ref="I113:I131" si="57">+J$95*G113+E113</f>
        <v>92869.207856266919</v>
      </c>
      <c r="J113" s="476">
        <f t="shared" si="33"/>
        <v>0</v>
      </c>
      <c r="K113" s="476"/>
      <c r="L113" s="485"/>
      <c r="M113" s="476">
        <f t="shared" si="35"/>
        <v>0</v>
      </c>
      <c r="N113" s="485"/>
      <c r="O113" s="476">
        <f t="shared" si="37"/>
        <v>0</v>
      </c>
      <c r="P113" s="476">
        <f t="shared" si="38"/>
        <v>0</v>
      </c>
    </row>
    <row r="114" spans="2:16">
      <c r="B114" s="160" t="str">
        <f t="shared" si="39"/>
        <v/>
      </c>
      <c r="C114" s="470">
        <f>IF(D93="","-",+C113+1)</f>
        <v>2024</v>
      </c>
      <c r="D114" s="345">
        <f>IF(F113+SUM(E$99:E113)=D$92,F113,D$92-SUM(E$99:E113))</f>
        <v>613640</v>
      </c>
      <c r="E114" s="484">
        <f>IF(+J96&lt;F113,J96,D114)</f>
        <v>21801</v>
      </c>
      <c r="F114" s="483">
        <f t="shared" si="54"/>
        <v>591839</v>
      </c>
      <c r="G114" s="483">
        <f t="shared" si="55"/>
        <v>602739.5</v>
      </c>
      <c r="H114" s="486">
        <f t="shared" si="56"/>
        <v>90388.411175387984</v>
      </c>
      <c r="I114" s="540">
        <f t="shared" si="57"/>
        <v>90388.411175387984</v>
      </c>
      <c r="J114" s="476">
        <f t="shared" si="33"/>
        <v>0</v>
      </c>
      <c r="K114" s="476"/>
      <c r="L114" s="485"/>
      <c r="M114" s="476">
        <f t="shared" si="35"/>
        <v>0</v>
      </c>
      <c r="N114" s="485"/>
      <c r="O114" s="476">
        <f t="shared" si="37"/>
        <v>0</v>
      </c>
      <c r="P114" s="476">
        <f t="shared" si="38"/>
        <v>0</v>
      </c>
    </row>
    <row r="115" spans="2:16">
      <c r="B115" s="160" t="str">
        <f t="shared" si="39"/>
        <v/>
      </c>
      <c r="C115" s="470">
        <f>IF(D93="","-",+C114+1)</f>
        <v>2025</v>
      </c>
      <c r="D115" s="345">
        <f>IF(F114+SUM(E$99:E114)=D$92,F114,D$92-SUM(E$99:E114))</f>
        <v>591839</v>
      </c>
      <c r="E115" s="484">
        <f>IF(+J96&lt;F114,J96,D115)</f>
        <v>21801</v>
      </c>
      <c r="F115" s="483">
        <f t="shared" si="54"/>
        <v>570038</v>
      </c>
      <c r="G115" s="483">
        <f t="shared" si="55"/>
        <v>580938.5</v>
      </c>
      <c r="H115" s="486">
        <f t="shared" si="56"/>
        <v>87907.614494509035</v>
      </c>
      <c r="I115" s="540">
        <f t="shared" si="57"/>
        <v>87907.614494509035</v>
      </c>
      <c r="J115" s="476">
        <f t="shared" si="33"/>
        <v>0</v>
      </c>
      <c r="K115" s="476"/>
      <c r="L115" s="485"/>
      <c r="M115" s="476">
        <f t="shared" si="35"/>
        <v>0</v>
      </c>
      <c r="N115" s="485"/>
      <c r="O115" s="476">
        <f t="shared" si="37"/>
        <v>0</v>
      </c>
      <c r="P115" s="476">
        <f t="shared" si="38"/>
        <v>0</v>
      </c>
    </row>
    <row r="116" spans="2:16">
      <c r="B116" s="160" t="str">
        <f t="shared" si="39"/>
        <v/>
      </c>
      <c r="C116" s="470">
        <f>IF(D93="","-",+C115+1)</f>
        <v>2026</v>
      </c>
      <c r="D116" s="345">
        <f>IF(F115+SUM(E$99:E115)=D$92,F115,D$92-SUM(E$99:E115))</f>
        <v>570038</v>
      </c>
      <c r="E116" s="484">
        <f>IF(+J96&lt;F115,J96,D116)</f>
        <v>21801</v>
      </c>
      <c r="F116" s="483">
        <f t="shared" si="54"/>
        <v>548237</v>
      </c>
      <c r="G116" s="483">
        <f t="shared" si="55"/>
        <v>559137.5</v>
      </c>
      <c r="H116" s="486">
        <f t="shared" si="56"/>
        <v>85426.817813630099</v>
      </c>
      <c r="I116" s="540">
        <f t="shared" si="57"/>
        <v>85426.817813630099</v>
      </c>
      <c r="J116" s="476">
        <f t="shared" si="33"/>
        <v>0</v>
      </c>
      <c r="K116" s="476"/>
      <c r="L116" s="485"/>
      <c r="M116" s="476">
        <f t="shared" si="35"/>
        <v>0</v>
      </c>
      <c r="N116" s="485"/>
      <c r="O116" s="476">
        <f t="shared" si="37"/>
        <v>0</v>
      </c>
      <c r="P116" s="476">
        <f t="shared" si="38"/>
        <v>0</v>
      </c>
    </row>
    <row r="117" spans="2:16">
      <c r="B117" s="160" t="str">
        <f t="shared" si="39"/>
        <v/>
      </c>
      <c r="C117" s="470">
        <f>IF(D93="","-",+C116+1)</f>
        <v>2027</v>
      </c>
      <c r="D117" s="345">
        <f>IF(F116+SUM(E$99:E116)=D$92,F116,D$92-SUM(E$99:E116))</f>
        <v>548237</v>
      </c>
      <c r="E117" s="484">
        <f>IF(+J96&lt;F116,J96,D117)</f>
        <v>21801</v>
      </c>
      <c r="F117" s="483">
        <f t="shared" si="54"/>
        <v>526436</v>
      </c>
      <c r="G117" s="483">
        <f t="shared" si="55"/>
        <v>537336.5</v>
      </c>
      <c r="H117" s="486">
        <f t="shared" si="56"/>
        <v>82946.02113275115</v>
      </c>
      <c r="I117" s="540">
        <f t="shared" si="57"/>
        <v>82946.02113275115</v>
      </c>
      <c r="J117" s="476">
        <f t="shared" si="33"/>
        <v>0</v>
      </c>
      <c r="K117" s="476"/>
      <c r="L117" s="485"/>
      <c r="M117" s="476">
        <f t="shared" si="35"/>
        <v>0</v>
      </c>
      <c r="N117" s="485"/>
      <c r="O117" s="476">
        <f t="shared" si="37"/>
        <v>0</v>
      </c>
      <c r="P117" s="476">
        <f t="shared" si="38"/>
        <v>0</v>
      </c>
    </row>
    <row r="118" spans="2:16">
      <c r="B118" s="160" t="str">
        <f t="shared" si="39"/>
        <v/>
      </c>
      <c r="C118" s="470">
        <f>IF(D93="","-",+C117+1)</f>
        <v>2028</v>
      </c>
      <c r="D118" s="345">
        <f>IF(F117+SUM(E$99:E117)=D$92,F117,D$92-SUM(E$99:E117))</f>
        <v>526436</v>
      </c>
      <c r="E118" s="484">
        <f>IF(+J96&lt;F117,J96,D118)</f>
        <v>21801</v>
      </c>
      <c r="F118" s="483">
        <f t="shared" si="54"/>
        <v>504635</v>
      </c>
      <c r="G118" s="483">
        <f t="shared" si="55"/>
        <v>515535.5</v>
      </c>
      <c r="H118" s="486">
        <f t="shared" si="56"/>
        <v>80465.2244518722</v>
      </c>
      <c r="I118" s="540">
        <f t="shared" si="57"/>
        <v>80465.2244518722</v>
      </c>
      <c r="J118" s="476">
        <f t="shared" si="33"/>
        <v>0</v>
      </c>
      <c r="K118" s="476"/>
      <c r="L118" s="485"/>
      <c r="M118" s="476">
        <f t="shared" si="35"/>
        <v>0</v>
      </c>
      <c r="N118" s="485"/>
      <c r="O118" s="476">
        <f t="shared" si="37"/>
        <v>0</v>
      </c>
      <c r="P118" s="476">
        <f t="shared" si="38"/>
        <v>0</v>
      </c>
    </row>
    <row r="119" spans="2:16">
      <c r="B119" s="160" t="str">
        <f t="shared" si="39"/>
        <v/>
      </c>
      <c r="C119" s="470">
        <f>IF(D93="","-",+C118+1)</f>
        <v>2029</v>
      </c>
      <c r="D119" s="345">
        <f>IF(F118+SUM(E$99:E118)=D$92,F118,D$92-SUM(E$99:E118))</f>
        <v>504635</v>
      </c>
      <c r="E119" s="484">
        <f>IF(+J96&lt;F118,J96,D119)</f>
        <v>21801</v>
      </c>
      <c r="F119" s="483">
        <f t="shared" si="54"/>
        <v>482834</v>
      </c>
      <c r="G119" s="483">
        <f t="shared" si="55"/>
        <v>493734.5</v>
      </c>
      <c r="H119" s="486">
        <f t="shared" si="56"/>
        <v>77984.427770993265</v>
      </c>
      <c r="I119" s="540">
        <f t="shared" si="57"/>
        <v>77984.427770993265</v>
      </c>
      <c r="J119" s="476">
        <f t="shared" si="33"/>
        <v>0</v>
      </c>
      <c r="K119" s="476"/>
      <c r="L119" s="485"/>
      <c r="M119" s="476">
        <f t="shared" si="35"/>
        <v>0</v>
      </c>
      <c r="N119" s="485"/>
      <c r="O119" s="476">
        <f t="shared" si="37"/>
        <v>0</v>
      </c>
      <c r="P119" s="476">
        <f t="shared" si="38"/>
        <v>0</v>
      </c>
    </row>
    <row r="120" spans="2:16">
      <c r="B120" s="160" t="str">
        <f t="shared" si="39"/>
        <v/>
      </c>
      <c r="C120" s="470">
        <f>IF(D93="","-",+C119+1)</f>
        <v>2030</v>
      </c>
      <c r="D120" s="345">
        <f>IF(F119+SUM(E$99:E119)=D$92,F119,D$92-SUM(E$99:E119))</f>
        <v>482834</v>
      </c>
      <c r="E120" s="484">
        <f>IF(+J96&lt;F119,J96,D120)</f>
        <v>21801</v>
      </c>
      <c r="F120" s="483">
        <f t="shared" si="54"/>
        <v>461033</v>
      </c>
      <c r="G120" s="483">
        <f t="shared" si="55"/>
        <v>471933.5</v>
      </c>
      <c r="H120" s="486">
        <f t="shared" si="56"/>
        <v>75503.63109011433</v>
      </c>
      <c r="I120" s="540">
        <f t="shared" si="57"/>
        <v>75503.63109011433</v>
      </c>
      <c r="J120" s="476">
        <f t="shared" si="33"/>
        <v>0</v>
      </c>
      <c r="K120" s="476"/>
      <c r="L120" s="485"/>
      <c r="M120" s="476">
        <f t="shared" si="35"/>
        <v>0</v>
      </c>
      <c r="N120" s="485"/>
      <c r="O120" s="476">
        <f t="shared" si="37"/>
        <v>0</v>
      </c>
      <c r="P120" s="476">
        <f t="shared" si="38"/>
        <v>0</v>
      </c>
    </row>
    <row r="121" spans="2:16">
      <c r="B121" s="160" t="str">
        <f t="shared" si="39"/>
        <v/>
      </c>
      <c r="C121" s="470">
        <f>IF(D93="","-",+C120+1)</f>
        <v>2031</v>
      </c>
      <c r="D121" s="345">
        <f>IF(F120+SUM(E$99:E120)=D$92,F120,D$92-SUM(E$99:E120))</f>
        <v>461033</v>
      </c>
      <c r="E121" s="484">
        <f>IF(+J96&lt;F120,J96,D121)</f>
        <v>21801</v>
      </c>
      <c r="F121" s="483">
        <f t="shared" si="54"/>
        <v>439232</v>
      </c>
      <c r="G121" s="483">
        <f t="shared" si="55"/>
        <v>450132.5</v>
      </c>
      <c r="H121" s="486">
        <f t="shared" si="56"/>
        <v>73022.83440923538</v>
      </c>
      <c r="I121" s="540">
        <f t="shared" si="57"/>
        <v>73022.83440923538</v>
      </c>
      <c r="J121" s="476">
        <f t="shared" si="33"/>
        <v>0</v>
      </c>
      <c r="K121" s="476"/>
      <c r="L121" s="485"/>
      <c r="M121" s="476">
        <f t="shared" si="35"/>
        <v>0</v>
      </c>
      <c r="N121" s="485"/>
      <c r="O121" s="476">
        <f t="shared" si="37"/>
        <v>0</v>
      </c>
      <c r="P121" s="476">
        <f t="shared" si="38"/>
        <v>0</v>
      </c>
    </row>
    <row r="122" spans="2:16">
      <c r="B122" s="160" t="str">
        <f t="shared" si="39"/>
        <v/>
      </c>
      <c r="C122" s="470">
        <f>IF(D93="","-",+C121+1)</f>
        <v>2032</v>
      </c>
      <c r="D122" s="345">
        <f>IF(F121+SUM(E$99:E121)=D$92,F121,D$92-SUM(E$99:E121))</f>
        <v>439232</v>
      </c>
      <c r="E122" s="484">
        <f>IF(+J96&lt;F121,J96,D122)</f>
        <v>21801</v>
      </c>
      <c r="F122" s="483">
        <f t="shared" si="54"/>
        <v>417431</v>
      </c>
      <c r="G122" s="483">
        <f t="shared" si="55"/>
        <v>428331.5</v>
      </c>
      <c r="H122" s="486">
        <f t="shared" si="56"/>
        <v>70542.03772835643</v>
      </c>
      <c r="I122" s="540">
        <f t="shared" si="57"/>
        <v>70542.03772835643</v>
      </c>
      <c r="J122" s="476">
        <f t="shared" si="33"/>
        <v>0</v>
      </c>
      <c r="K122" s="476"/>
      <c r="L122" s="485"/>
      <c r="M122" s="476">
        <f t="shared" si="35"/>
        <v>0</v>
      </c>
      <c r="N122" s="485"/>
      <c r="O122" s="476">
        <f t="shared" si="37"/>
        <v>0</v>
      </c>
      <c r="P122" s="476">
        <f t="shared" si="38"/>
        <v>0</v>
      </c>
    </row>
    <row r="123" spans="2:16">
      <c r="B123" s="160" t="str">
        <f t="shared" si="39"/>
        <v/>
      </c>
      <c r="C123" s="470">
        <f>IF(D93="","-",+C122+1)</f>
        <v>2033</v>
      </c>
      <c r="D123" s="345">
        <f>IF(F122+SUM(E$99:E122)=D$92,F122,D$92-SUM(E$99:E122))</f>
        <v>417431</v>
      </c>
      <c r="E123" s="484">
        <f>IF(+J96&lt;F122,J96,D123)</f>
        <v>21801</v>
      </c>
      <c r="F123" s="483">
        <f t="shared" si="54"/>
        <v>395630</v>
      </c>
      <c r="G123" s="483">
        <f t="shared" si="55"/>
        <v>406530.5</v>
      </c>
      <c r="H123" s="486">
        <f t="shared" si="56"/>
        <v>68061.241047477495</v>
      </c>
      <c r="I123" s="540">
        <f t="shared" si="57"/>
        <v>68061.241047477495</v>
      </c>
      <c r="J123" s="476">
        <f t="shared" si="33"/>
        <v>0</v>
      </c>
      <c r="K123" s="476"/>
      <c r="L123" s="485"/>
      <c r="M123" s="476">
        <f t="shared" si="35"/>
        <v>0</v>
      </c>
      <c r="N123" s="485"/>
      <c r="O123" s="476">
        <f t="shared" si="37"/>
        <v>0</v>
      </c>
      <c r="P123" s="476">
        <f t="shared" si="38"/>
        <v>0</v>
      </c>
    </row>
    <row r="124" spans="2:16">
      <c r="B124" s="160" t="str">
        <f t="shared" si="39"/>
        <v/>
      </c>
      <c r="C124" s="470">
        <f>IF(D93="","-",+C123+1)</f>
        <v>2034</v>
      </c>
      <c r="D124" s="345">
        <f>IF(F123+SUM(E$99:E123)=D$92,F123,D$92-SUM(E$99:E123))</f>
        <v>395630</v>
      </c>
      <c r="E124" s="484">
        <f>IF(+J96&lt;F123,J96,D124)</f>
        <v>21801</v>
      </c>
      <c r="F124" s="483">
        <f t="shared" si="54"/>
        <v>373829</v>
      </c>
      <c r="G124" s="483">
        <f t="shared" si="55"/>
        <v>384729.5</v>
      </c>
      <c r="H124" s="486">
        <f t="shared" si="56"/>
        <v>65580.44436659856</v>
      </c>
      <c r="I124" s="540">
        <f t="shared" si="57"/>
        <v>65580.44436659856</v>
      </c>
      <c r="J124" s="476">
        <f t="shared" si="33"/>
        <v>0</v>
      </c>
      <c r="K124" s="476"/>
      <c r="L124" s="485"/>
      <c r="M124" s="476">
        <f t="shared" si="35"/>
        <v>0</v>
      </c>
      <c r="N124" s="485"/>
      <c r="O124" s="476">
        <f t="shared" si="37"/>
        <v>0</v>
      </c>
      <c r="P124" s="476">
        <f t="shared" si="38"/>
        <v>0</v>
      </c>
    </row>
    <row r="125" spans="2:16">
      <c r="B125" s="160" t="str">
        <f t="shared" si="39"/>
        <v/>
      </c>
      <c r="C125" s="470">
        <f>IF(D93="","-",+C124+1)</f>
        <v>2035</v>
      </c>
      <c r="D125" s="345">
        <f>IF(F124+SUM(E$99:E124)=D$92,F124,D$92-SUM(E$99:E124))</f>
        <v>373829</v>
      </c>
      <c r="E125" s="484">
        <f>IF(+J96&lt;F124,J96,D125)</f>
        <v>21801</v>
      </c>
      <c r="F125" s="483">
        <f t="shared" si="54"/>
        <v>352028</v>
      </c>
      <c r="G125" s="483">
        <f t="shared" si="55"/>
        <v>362928.5</v>
      </c>
      <c r="H125" s="486">
        <f t="shared" si="56"/>
        <v>63099.64768571961</v>
      </c>
      <c r="I125" s="540">
        <f t="shared" si="57"/>
        <v>63099.64768571961</v>
      </c>
      <c r="J125" s="476">
        <f t="shared" si="33"/>
        <v>0</v>
      </c>
      <c r="K125" s="476"/>
      <c r="L125" s="485"/>
      <c r="M125" s="476">
        <f t="shared" si="35"/>
        <v>0</v>
      </c>
      <c r="N125" s="485"/>
      <c r="O125" s="476">
        <f t="shared" si="37"/>
        <v>0</v>
      </c>
      <c r="P125" s="476">
        <f t="shared" si="38"/>
        <v>0</v>
      </c>
    </row>
    <row r="126" spans="2:16">
      <c r="B126" s="160" t="str">
        <f t="shared" si="39"/>
        <v/>
      </c>
      <c r="C126" s="470">
        <f>IF(D93="","-",+C125+1)</f>
        <v>2036</v>
      </c>
      <c r="D126" s="345">
        <f>IF(F125+SUM(E$99:E125)=D$92,F125,D$92-SUM(E$99:E125))</f>
        <v>352028</v>
      </c>
      <c r="E126" s="484">
        <f>IF(+J96&lt;F125,J96,D126)</f>
        <v>21801</v>
      </c>
      <c r="F126" s="483">
        <f t="shared" si="54"/>
        <v>330227</v>
      </c>
      <c r="G126" s="483">
        <f t="shared" si="55"/>
        <v>341127.5</v>
      </c>
      <c r="H126" s="486">
        <f t="shared" si="56"/>
        <v>60618.851004840668</v>
      </c>
      <c r="I126" s="540">
        <f t="shared" si="57"/>
        <v>60618.851004840668</v>
      </c>
      <c r="J126" s="476">
        <f t="shared" si="33"/>
        <v>0</v>
      </c>
      <c r="K126" s="476"/>
      <c r="L126" s="485"/>
      <c r="M126" s="476">
        <f t="shared" si="35"/>
        <v>0</v>
      </c>
      <c r="N126" s="485"/>
      <c r="O126" s="476">
        <f t="shared" si="37"/>
        <v>0</v>
      </c>
      <c r="P126" s="476">
        <f t="shared" si="38"/>
        <v>0</v>
      </c>
    </row>
    <row r="127" spans="2:16">
      <c r="B127" s="160" t="str">
        <f t="shared" si="39"/>
        <v/>
      </c>
      <c r="C127" s="470">
        <f>IF(D93="","-",+C126+1)</f>
        <v>2037</v>
      </c>
      <c r="D127" s="345">
        <f>IF(F126+SUM(E$99:E126)=D$92,F126,D$92-SUM(E$99:E126))</f>
        <v>330227</v>
      </c>
      <c r="E127" s="484">
        <f>IF(+J96&lt;F126,J96,D127)</f>
        <v>21801</v>
      </c>
      <c r="F127" s="483">
        <f t="shared" si="54"/>
        <v>308426</v>
      </c>
      <c r="G127" s="483">
        <f t="shared" si="55"/>
        <v>319326.5</v>
      </c>
      <c r="H127" s="486">
        <f t="shared" si="56"/>
        <v>58138.054323961725</v>
      </c>
      <c r="I127" s="540">
        <f t="shared" si="57"/>
        <v>58138.054323961725</v>
      </c>
      <c r="J127" s="476">
        <f t="shared" si="33"/>
        <v>0</v>
      </c>
      <c r="K127" s="476"/>
      <c r="L127" s="485"/>
      <c r="M127" s="476">
        <f t="shared" si="35"/>
        <v>0</v>
      </c>
      <c r="N127" s="485"/>
      <c r="O127" s="476">
        <f t="shared" si="37"/>
        <v>0</v>
      </c>
      <c r="P127" s="476">
        <f t="shared" si="38"/>
        <v>0</v>
      </c>
    </row>
    <row r="128" spans="2:16">
      <c r="B128" s="160" t="str">
        <f t="shared" si="39"/>
        <v/>
      </c>
      <c r="C128" s="470">
        <f>IF(D93="","-",+C127+1)</f>
        <v>2038</v>
      </c>
      <c r="D128" s="345">
        <f>IF(F127+SUM(E$99:E127)=D$92,F127,D$92-SUM(E$99:E127))</f>
        <v>308426</v>
      </c>
      <c r="E128" s="484">
        <f>IF(+J96&lt;F127,J96,D128)</f>
        <v>21801</v>
      </c>
      <c r="F128" s="483">
        <f t="shared" si="54"/>
        <v>286625</v>
      </c>
      <c r="G128" s="483">
        <f t="shared" si="55"/>
        <v>297525.5</v>
      </c>
      <c r="H128" s="486">
        <f t="shared" si="56"/>
        <v>55657.257643082783</v>
      </c>
      <c r="I128" s="540">
        <f t="shared" si="57"/>
        <v>55657.257643082783</v>
      </c>
      <c r="J128" s="476">
        <f t="shared" si="33"/>
        <v>0</v>
      </c>
      <c r="K128" s="476"/>
      <c r="L128" s="485"/>
      <c r="M128" s="476">
        <f t="shared" si="35"/>
        <v>0</v>
      </c>
      <c r="N128" s="485"/>
      <c r="O128" s="476">
        <f t="shared" si="37"/>
        <v>0</v>
      </c>
      <c r="P128" s="476">
        <f t="shared" si="38"/>
        <v>0</v>
      </c>
    </row>
    <row r="129" spans="2:16">
      <c r="B129" s="160" t="str">
        <f t="shared" si="39"/>
        <v/>
      </c>
      <c r="C129" s="470">
        <f>IF(D93="","-",+C128+1)</f>
        <v>2039</v>
      </c>
      <c r="D129" s="345">
        <f>IF(F128+SUM(E$99:E128)=D$92,F128,D$92-SUM(E$99:E128))</f>
        <v>286625</v>
      </c>
      <c r="E129" s="484">
        <f>IF(+J96&lt;F128,J96,D129)</f>
        <v>21801</v>
      </c>
      <c r="F129" s="483">
        <f t="shared" si="54"/>
        <v>264824</v>
      </c>
      <c r="G129" s="483">
        <f t="shared" si="55"/>
        <v>275724.5</v>
      </c>
      <c r="H129" s="486">
        <f t="shared" si="56"/>
        <v>53176.460962203841</v>
      </c>
      <c r="I129" s="540">
        <f t="shared" si="57"/>
        <v>53176.460962203841</v>
      </c>
      <c r="J129" s="476">
        <f t="shared" si="33"/>
        <v>0</v>
      </c>
      <c r="K129" s="476"/>
      <c r="L129" s="485"/>
      <c r="M129" s="476">
        <f t="shared" si="35"/>
        <v>0</v>
      </c>
      <c r="N129" s="485"/>
      <c r="O129" s="476">
        <f t="shared" si="37"/>
        <v>0</v>
      </c>
      <c r="P129" s="476">
        <f t="shared" si="38"/>
        <v>0</v>
      </c>
    </row>
    <row r="130" spans="2:16">
      <c r="B130" s="160" t="str">
        <f t="shared" si="39"/>
        <v/>
      </c>
      <c r="C130" s="470">
        <f>IF(D93="","-",+C129+1)</f>
        <v>2040</v>
      </c>
      <c r="D130" s="345">
        <f>IF(F129+SUM(E$99:E129)=D$92,F129,D$92-SUM(E$99:E129))</f>
        <v>264824</v>
      </c>
      <c r="E130" s="484">
        <f>IF(+J96&lt;F129,J96,D130)</f>
        <v>21801</v>
      </c>
      <c r="F130" s="483">
        <f t="shared" si="54"/>
        <v>243023</v>
      </c>
      <c r="G130" s="483">
        <f t="shared" si="55"/>
        <v>253923.5</v>
      </c>
      <c r="H130" s="486">
        <f t="shared" si="56"/>
        <v>50695.664281324898</v>
      </c>
      <c r="I130" s="540">
        <f t="shared" si="57"/>
        <v>50695.664281324898</v>
      </c>
      <c r="J130" s="476">
        <f t="shared" si="33"/>
        <v>0</v>
      </c>
      <c r="K130" s="476"/>
      <c r="L130" s="485"/>
      <c r="M130" s="476">
        <f t="shared" si="35"/>
        <v>0</v>
      </c>
      <c r="N130" s="485"/>
      <c r="O130" s="476">
        <f t="shared" si="37"/>
        <v>0</v>
      </c>
      <c r="P130" s="476">
        <f t="shared" si="38"/>
        <v>0</v>
      </c>
    </row>
    <row r="131" spans="2:16">
      <c r="B131" s="160" t="str">
        <f t="shared" si="39"/>
        <v/>
      </c>
      <c r="C131" s="470">
        <f>IF(D93="","-",+C130+1)</f>
        <v>2041</v>
      </c>
      <c r="D131" s="345">
        <f>IF(F130+SUM(E$99:E130)=D$92,F130,D$92-SUM(E$99:E130))</f>
        <v>243023</v>
      </c>
      <c r="E131" s="484">
        <f>IF(+J96&lt;F130,J96,D131)</f>
        <v>21801</v>
      </c>
      <c r="F131" s="483">
        <f t="shared" ref="F131:F154" si="58">+D131-E131</f>
        <v>221222</v>
      </c>
      <c r="G131" s="483">
        <f t="shared" ref="G131:G154" si="59">+(F131+D131)/2</f>
        <v>232122.5</v>
      </c>
      <c r="H131" s="486">
        <f t="shared" si="56"/>
        <v>48214.867600445956</v>
      </c>
      <c r="I131" s="540">
        <f t="shared" si="57"/>
        <v>48214.867600445956</v>
      </c>
      <c r="J131" s="476">
        <f t="shared" ref="J131:J154" si="60">+I131-H131</f>
        <v>0</v>
      </c>
      <c r="K131" s="476"/>
      <c r="L131" s="485"/>
      <c r="M131" s="476">
        <f t="shared" ref="M131:M154" si="61">IF(L131&lt;&gt;0,+H131-L131,0)</f>
        <v>0</v>
      </c>
      <c r="N131" s="485"/>
      <c r="O131" s="476">
        <f t="shared" ref="O131:O154" si="62">IF(N131&lt;&gt;0,+I131-N131,0)</f>
        <v>0</v>
      </c>
      <c r="P131" s="476">
        <f t="shared" ref="P131:P154" si="63">+O131-M131</f>
        <v>0</v>
      </c>
    </row>
    <row r="132" spans="2:16">
      <c r="B132" s="160" t="str">
        <f t="shared" si="39"/>
        <v/>
      </c>
      <c r="C132" s="470">
        <f>IF(D93="","-",+C131+1)</f>
        <v>2042</v>
      </c>
      <c r="D132" s="345">
        <f>IF(F131+SUM(E$99:E131)=D$92,F131,D$92-SUM(E$99:E131))</f>
        <v>221222</v>
      </c>
      <c r="E132" s="484">
        <f>IF(+J96&lt;F131,J96,D132)</f>
        <v>21801</v>
      </c>
      <c r="F132" s="483">
        <f t="shared" si="58"/>
        <v>199421</v>
      </c>
      <c r="G132" s="483">
        <f t="shared" si="59"/>
        <v>210321.5</v>
      </c>
      <c r="H132" s="486">
        <f t="shared" ref="H132:H154" si="64">+J$94*G132+E132</f>
        <v>45734.070919567013</v>
      </c>
      <c r="I132" s="540">
        <f t="shared" ref="I132:I154" si="65">+J$95*G132+E132</f>
        <v>45734.070919567013</v>
      </c>
      <c r="J132" s="476">
        <f t="shared" si="60"/>
        <v>0</v>
      </c>
      <c r="K132" s="476"/>
      <c r="L132" s="485"/>
      <c r="M132" s="476">
        <f t="shared" si="61"/>
        <v>0</v>
      </c>
      <c r="N132" s="485"/>
      <c r="O132" s="476">
        <f t="shared" si="62"/>
        <v>0</v>
      </c>
      <c r="P132" s="476">
        <f t="shared" si="63"/>
        <v>0</v>
      </c>
    </row>
    <row r="133" spans="2:16">
      <c r="B133" s="160" t="str">
        <f t="shared" si="39"/>
        <v/>
      </c>
      <c r="C133" s="470">
        <f>IF(D93="","-",+C132+1)</f>
        <v>2043</v>
      </c>
      <c r="D133" s="345">
        <f>IF(F132+SUM(E$99:E132)=D$92,F132,D$92-SUM(E$99:E132))</f>
        <v>199421</v>
      </c>
      <c r="E133" s="484">
        <f>IF(+J96&lt;F132,J96,D133)</f>
        <v>21801</v>
      </c>
      <c r="F133" s="483">
        <f t="shared" si="58"/>
        <v>177620</v>
      </c>
      <c r="G133" s="483">
        <f t="shared" si="59"/>
        <v>188520.5</v>
      </c>
      <c r="H133" s="486">
        <f t="shared" si="64"/>
        <v>43253.274238688071</v>
      </c>
      <c r="I133" s="540">
        <f t="shared" si="65"/>
        <v>43253.274238688071</v>
      </c>
      <c r="J133" s="476">
        <f t="shared" si="60"/>
        <v>0</v>
      </c>
      <c r="K133" s="476"/>
      <c r="L133" s="485"/>
      <c r="M133" s="476">
        <f t="shared" si="61"/>
        <v>0</v>
      </c>
      <c r="N133" s="485"/>
      <c r="O133" s="476">
        <f t="shared" si="62"/>
        <v>0</v>
      </c>
      <c r="P133" s="476">
        <f t="shared" si="63"/>
        <v>0</v>
      </c>
    </row>
    <row r="134" spans="2:16">
      <c r="B134" s="160" t="str">
        <f t="shared" si="39"/>
        <v/>
      </c>
      <c r="C134" s="470">
        <f>IF(D93="","-",+C133+1)</f>
        <v>2044</v>
      </c>
      <c r="D134" s="345">
        <f>IF(F133+SUM(E$99:E133)=D$92,F133,D$92-SUM(E$99:E133))</f>
        <v>177620</v>
      </c>
      <c r="E134" s="484">
        <f>IF(+J96&lt;F133,J96,D134)</f>
        <v>21801</v>
      </c>
      <c r="F134" s="483">
        <f t="shared" si="58"/>
        <v>155819</v>
      </c>
      <c r="G134" s="483">
        <f t="shared" si="59"/>
        <v>166719.5</v>
      </c>
      <c r="H134" s="486">
        <f t="shared" si="64"/>
        <v>40772.477557809128</v>
      </c>
      <c r="I134" s="540">
        <f t="shared" si="65"/>
        <v>40772.477557809128</v>
      </c>
      <c r="J134" s="476">
        <f t="shared" si="60"/>
        <v>0</v>
      </c>
      <c r="K134" s="476"/>
      <c r="L134" s="485"/>
      <c r="M134" s="476">
        <f t="shared" si="61"/>
        <v>0</v>
      </c>
      <c r="N134" s="485"/>
      <c r="O134" s="476">
        <f t="shared" si="62"/>
        <v>0</v>
      </c>
      <c r="P134" s="476">
        <f t="shared" si="63"/>
        <v>0</v>
      </c>
    </row>
    <row r="135" spans="2:16">
      <c r="B135" s="160" t="str">
        <f t="shared" si="39"/>
        <v/>
      </c>
      <c r="C135" s="470">
        <f>IF(D93="","-",+C134+1)</f>
        <v>2045</v>
      </c>
      <c r="D135" s="345">
        <f>IF(F134+SUM(E$99:E134)=D$92,F134,D$92-SUM(E$99:E134))</f>
        <v>155819</v>
      </c>
      <c r="E135" s="484">
        <f>IF(+J96&lt;F134,J96,D135)</f>
        <v>21801</v>
      </c>
      <c r="F135" s="483">
        <f t="shared" si="58"/>
        <v>134018</v>
      </c>
      <c r="G135" s="483">
        <f t="shared" si="59"/>
        <v>144918.5</v>
      </c>
      <c r="H135" s="486">
        <f t="shared" si="64"/>
        <v>38291.680876930186</v>
      </c>
      <c r="I135" s="540">
        <f t="shared" si="65"/>
        <v>38291.680876930186</v>
      </c>
      <c r="J135" s="476">
        <f t="shared" si="60"/>
        <v>0</v>
      </c>
      <c r="K135" s="476"/>
      <c r="L135" s="485"/>
      <c r="M135" s="476">
        <f t="shared" si="61"/>
        <v>0</v>
      </c>
      <c r="N135" s="485"/>
      <c r="O135" s="476">
        <f t="shared" si="62"/>
        <v>0</v>
      </c>
      <c r="P135" s="476">
        <f t="shared" si="63"/>
        <v>0</v>
      </c>
    </row>
    <row r="136" spans="2:16">
      <c r="B136" s="160" t="str">
        <f t="shared" si="39"/>
        <v/>
      </c>
      <c r="C136" s="470">
        <f>IF(D93="","-",+C135+1)</f>
        <v>2046</v>
      </c>
      <c r="D136" s="345">
        <f>IF(F135+SUM(E$99:E135)=D$92,F135,D$92-SUM(E$99:E135))</f>
        <v>134018</v>
      </c>
      <c r="E136" s="484">
        <f>IF(+J96&lt;F135,J96,D136)</f>
        <v>21801</v>
      </c>
      <c r="F136" s="483">
        <f t="shared" si="58"/>
        <v>112217</v>
      </c>
      <c r="G136" s="483">
        <f t="shared" si="59"/>
        <v>123117.5</v>
      </c>
      <c r="H136" s="486">
        <f t="shared" si="64"/>
        <v>35810.884196051244</v>
      </c>
      <c r="I136" s="540">
        <f t="shared" si="65"/>
        <v>35810.884196051244</v>
      </c>
      <c r="J136" s="476">
        <f t="shared" si="60"/>
        <v>0</v>
      </c>
      <c r="K136" s="476"/>
      <c r="L136" s="485"/>
      <c r="M136" s="476">
        <f t="shared" si="61"/>
        <v>0</v>
      </c>
      <c r="N136" s="485"/>
      <c r="O136" s="476">
        <f t="shared" si="62"/>
        <v>0</v>
      </c>
      <c r="P136" s="476">
        <f t="shared" si="63"/>
        <v>0</v>
      </c>
    </row>
    <row r="137" spans="2:16">
      <c r="B137" s="160" t="str">
        <f t="shared" si="39"/>
        <v/>
      </c>
      <c r="C137" s="470">
        <f>IF(D93="","-",+C136+1)</f>
        <v>2047</v>
      </c>
      <c r="D137" s="345">
        <f>IF(F136+SUM(E$99:E136)=D$92,F136,D$92-SUM(E$99:E136))</f>
        <v>112217</v>
      </c>
      <c r="E137" s="484">
        <f>IF(+J96&lt;F136,J96,D137)</f>
        <v>21801</v>
      </c>
      <c r="F137" s="483">
        <f t="shared" si="58"/>
        <v>90416</v>
      </c>
      <c r="G137" s="483">
        <f t="shared" si="59"/>
        <v>101316.5</v>
      </c>
      <c r="H137" s="486">
        <f t="shared" si="64"/>
        <v>33330.087515172301</v>
      </c>
      <c r="I137" s="540">
        <f t="shared" si="65"/>
        <v>33330.087515172301</v>
      </c>
      <c r="J137" s="476">
        <f t="shared" si="60"/>
        <v>0</v>
      </c>
      <c r="K137" s="476"/>
      <c r="L137" s="485"/>
      <c r="M137" s="476">
        <f t="shared" si="61"/>
        <v>0</v>
      </c>
      <c r="N137" s="485"/>
      <c r="O137" s="476">
        <f t="shared" si="62"/>
        <v>0</v>
      </c>
      <c r="P137" s="476">
        <f t="shared" si="63"/>
        <v>0</v>
      </c>
    </row>
    <row r="138" spans="2:16">
      <c r="B138" s="160" t="str">
        <f t="shared" si="39"/>
        <v/>
      </c>
      <c r="C138" s="470">
        <f>IF(D93="","-",+C137+1)</f>
        <v>2048</v>
      </c>
      <c r="D138" s="345">
        <f>IF(F137+SUM(E$99:E137)=D$92,F137,D$92-SUM(E$99:E137))</f>
        <v>90416</v>
      </c>
      <c r="E138" s="484">
        <f>IF(+J96&lt;F137,J96,D138)</f>
        <v>21801</v>
      </c>
      <c r="F138" s="483">
        <f t="shared" si="58"/>
        <v>68615</v>
      </c>
      <c r="G138" s="483">
        <f t="shared" si="59"/>
        <v>79515.5</v>
      </c>
      <c r="H138" s="486">
        <f t="shared" si="64"/>
        <v>30849.290834293359</v>
      </c>
      <c r="I138" s="540">
        <f t="shared" si="65"/>
        <v>30849.290834293359</v>
      </c>
      <c r="J138" s="476">
        <f t="shared" si="60"/>
        <v>0</v>
      </c>
      <c r="K138" s="476"/>
      <c r="L138" s="485"/>
      <c r="M138" s="476">
        <f t="shared" si="61"/>
        <v>0</v>
      </c>
      <c r="N138" s="485"/>
      <c r="O138" s="476">
        <f t="shared" si="62"/>
        <v>0</v>
      </c>
      <c r="P138" s="476">
        <f t="shared" si="63"/>
        <v>0</v>
      </c>
    </row>
    <row r="139" spans="2:16">
      <c r="B139" s="160" t="str">
        <f t="shared" si="39"/>
        <v/>
      </c>
      <c r="C139" s="470">
        <f>IF(D93="","-",+C138+1)</f>
        <v>2049</v>
      </c>
      <c r="D139" s="345">
        <f>IF(F138+SUM(E$99:E138)=D$92,F138,D$92-SUM(E$99:E138))</f>
        <v>68615</v>
      </c>
      <c r="E139" s="484">
        <f>IF(+J96&lt;F138,J96,D139)</f>
        <v>21801</v>
      </c>
      <c r="F139" s="483">
        <f t="shared" si="58"/>
        <v>46814</v>
      </c>
      <c r="G139" s="483">
        <f t="shared" si="59"/>
        <v>57714.5</v>
      </c>
      <c r="H139" s="486">
        <f t="shared" si="64"/>
        <v>28368.494153414416</v>
      </c>
      <c r="I139" s="540">
        <f t="shared" si="65"/>
        <v>28368.494153414416</v>
      </c>
      <c r="J139" s="476">
        <f t="shared" si="60"/>
        <v>0</v>
      </c>
      <c r="K139" s="476"/>
      <c r="L139" s="485"/>
      <c r="M139" s="476">
        <f t="shared" si="61"/>
        <v>0</v>
      </c>
      <c r="N139" s="485"/>
      <c r="O139" s="476">
        <f t="shared" si="62"/>
        <v>0</v>
      </c>
      <c r="P139" s="476">
        <f t="shared" si="63"/>
        <v>0</v>
      </c>
    </row>
    <row r="140" spans="2:16">
      <c r="B140" s="160" t="str">
        <f t="shared" si="39"/>
        <v/>
      </c>
      <c r="C140" s="470">
        <f>IF(D93="","-",+C139+1)</f>
        <v>2050</v>
      </c>
      <c r="D140" s="345">
        <f>IF(F139+SUM(E$99:E139)=D$92,F139,D$92-SUM(E$99:E139))</f>
        <v>46814</v>
      </c>
      <c r="E140" s="484">
        <f>IF(+J96&lt;F139,J96,D140)</f>
        <v>21801</v>
      </c>
      <c r="F140" s="483">
        <f t="shared" si="58"/>
        <v>25013</v>
      </c>
      <c r="G140" s="483">
        <f t="shared" si="59"/>
        <v>35913.5</v>
      </c>
      <c r="H140" s="486">
        <f t="shared" si="64"/>
        <v>25887.697472535474</v>
      </c>
      <c r="I140" s="540">
        <f t="shared" si="65"/>
        <v>25887.697472535474</v>
      </c>
      <c r="J140" s="476">
        <f t="shared" si="60"/>
        <v>0</v>
      </c>
      <c r="K140" s="476"/>
      <c r="L140" s="485"/>
      <c r="M140" s="476">
        <f t="shared" si="61"/>
        <v>0</v>
      </c>
      <c r="N140" s="485"/>
      <c r="O140" s="476">
        <f t="shared" si="62"/>
        <v>0</v>
      </c>
      <c r="P140" s="476">
        <f t="shared" si="63"/>
        <v>0</v>
      </c>
    </row>
    <row r="141" spans="2:16">
      <c r="B141" s="160" t="str">
        <f t="shared" si="39"/>
        <v/>
      </c>
      <c r="C141" s="470">
        <f>IF(D93="","-",+C140+1)</f>
        <v>2051</v>
      </c>
      <c r="D141" s="345">
        <f>IF(F140+SUM(E$99:E140)=D$92,F140,D$92-SUM(E$99:E140))</f>
        <v>25013</v>
      </c>
      <c r="E141" s="484">
        <f>IF(+J96&lt;F140,J96,D141)</f>
        <v>21801</v>
      </c>
      <c r="F141" s="483">
        <f t="shared" si="58"/>
        <v>3212</v>
      </c>
      <c r="G141" s="483">
        <f t="shared" si="59"/>
        <v>14112.5</v>
      </c>
      <c r="H141" s="486">
        <f t="shared" si="64"/>
        <v>23406.900791656532</v>
      </c>
      <c r="I141" s="540">
        <f t="shared" si="65"/>
        <v>23406.900791656532</v>
      </c>
      <c r="J141" s="476">
        <f t="shared" si="60"/>
        <v>0</v>
      </c>
      <c r="K141" s="476"/>
      <c r="L141" s="485"/>
      <c r="M141" s="476">
        <f t="shared" si="61"/>
        <v>0</v>
      </c>
      <c r="N141" s="485"/>
      <c r="O141" s="476">
        <f t="shared" si="62"/>
        <v>0</v>
      </c>
      <c r="P141" s="476">
        <f t="shared" si="63"/>
        <v>0</v>
      </c>
    </row>
    <row r="142" spans="2:16">
      <c r="B142" s="160" t="str">
        <f t="shared" si="39"/>
        <v/>
      </c>
      <c r="C142" s="470">
        <f>IF(D93="","-",+C141+1)</f>
        <v>2052</v>
      </c>
      <c r="D142" s="345">
        <f>IF(F141+SUM(E$99:E141)=D$92,F141,D$92-SUM(E$99:E141))</f>
        <v>3212</v>
      </c>
      <c r="E142" s="484">
        <f>IF(+J96&lt;F141,J96,D142)</f>
        <v>3212</v>
      </c>
      <c r="F142" s="483">
        <f t="shared" si="58"/>
        <v>0</v>
      </c>
      <c r="G142" s="483">
        <f t="shared" si="59"/>
        <v>1606</v>
      </c>
      <c r="H142" s="486">
        <f t="shared" si="64"/>
        <v>3394.7512256085311</v>
      </c>
      <c r="I142" s="540">
        <f t="shared" si="65"/>
        <v>3394.7512256085311</v>
      </c>
      <c r="J142" s="476">
        <f t="shared" si="60"/>
        <v>0</v>
      </c>
      <c r="K142" s="476"/>
      <c r="L142" s="485"/>
      <c r="M142" s="476">
        <f t="shared" si="61"/>
        <v>0</v>
      </c>
      <c r="N142" s="485"/>
      <c r="O142" s="476">
        <f t="shared" si="62"/>
        <v>0</v>
      </c>
      <c r="P142" s="476">
        <f t="shared" si="63"/>
        <v>0</v>
      </c>
    </row>
    <row r="143" spans="2:16">
      <c r="B143" s="160" t="str">
        <f t="shared" si="39"/>
        <v/>
      </c>
      <c r="C143" s="470">
        <f>IF(D93="","-",+C142+1)</f>
        <v>2053</v>
      </c>
      <c r="D143" s="345">
        <f>IF(F142+SUM(E$99:E142)=D$92,F142,D$92-SUM(E$99:E142))</f>
        <v>0</v>
      </c>
      <c r="E143" s="484">
        <f>IF(+J96&lt;F142,J96,D143)</f>
        <v>0</v>
      </c>
      <c r="F143" s="483">
        <f t="shared" si="58"/>
        <v>0</v>
      </c>
      <c r="G143" s="483">
        <f t="shared" si="59"/>
        <v>0</v>
      </c>
      <c r="H143" s="486">
        <f t="shared" si="64"/>
        <v>0</v>
      </c>
      <c r="I143" s="540">
        <f t="shared" si="65"/>
        <v>0</v>
      </c>
      <c r="J143" s="476">
        <f t="shared" si="60"/>
        <v>0</v>
      </c>
      <c r="K143" s="476"/>
      <c r="L143" s="485"/>
      <c r="M143" s="476">
        <f t="shared" si="61"/>
        <v>0</v>
      </c>
      <c r="N143" s="485"/>
      <c r="O143" s="476">
        <f t="shared" si="62"/>
        <v>0</v>
      </c>
      <c r="P143" s="476">
        <f t="shared" si="63"/>
        <v>0</v>
      </c>
    </row>
    <row r="144" spans="2:16">
      <c r="B144" s="160" t="str">
        <f t="shared" si="39"/>
        <v/>
      </c>
      <c r="C144" s="470">
        <f>IF(D93="","-",+C143+1)</f>
        <v>2054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58"/>
        <v>0</v>
      </c>
      <c r="G144" s="483">
        <f t="shared" si="59"/>
        <v>0</v>
      </c>
      <c r="H144" s="486">
        <f t="shared" si="64"/>
        <v>0</v>
      </c>
      <c r="I144" s="540">
        <f t="shared" si="65"/>
        <v>0</v>
      </c>
      <c r="J144" s="476">
        <f t="shared" si="60"/>
        <v>0</v>
      </c>
      <c r="K144" s="476"/>
      <c r="L144" s="485"/>
      <c r="M144" s="476">
        <f t="shared" si="61"/>
        <v>0</v>
      </c>
      <c r="N144" s="485"/>
      <c r="O144" s="476">
        <f t="shared" si="62"/>
        <v>0</v>
      </c>
      <c r="P144" s="476">
        <f t="shared" si="63"/>
        <v>0</v>
      </c>
    </row>
    <row r="145" spans="2:16">
      <c r="B145" s="160" t="str">
        <f t="shared" si="39"/>
        <v/>
      </c>
      <c r="C145" s="470">
        <f>IF(D93="","-",+C144+1)</f>
        <v>2055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58"/>
        <v>0</v>
      </c>
      <c r="G145" s="483">
        <f t="shared" si="59"/>
        <v>0</v>
      </c>
      <c r="H145" s="486">
        <f t="shared" si="64"/>
        <v>0</v>
      </c>
      <c r="I145" s="540">
        <f t="shared" si="65"/>
        <v>0</v>
      </c>
      <c r="J145" s="476">
        <f t="shared" si="60"/>
        <v>0</v>
      </c>
      <c r="K145" s="476"/>
      <c r="L145" s="485"/>
      <c r="M145" s="476">
        <f t="shared" si="61"/>
        <v>0</v>
      </c>
      <c r="N145" s="485"/>
      <c r="O145" s="476">
        <f t="shared" si="62"/>
        <v>0</v>
      </c>
      <c r="P145" s="476">
        <f t="shared" si="63"/>
        <v>0</v>
      </c>
    </row>
    <row r="146" spans="2:16">
      <c r="B146" s="160" t="str">
        <f t="shared" si="39"/>
        <v/>
      </c>
      <c r="C146" s="470">
        <f>IF(D93="","-",+C145+1)</f>
        <v>2056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si="58"/>
        <v>0</v>
      </c>
      <c r="G146" s="483">
        <f t="shared" si="59"/>
        <v>0</v>
      </c>
      <c r="H146" s="486">
        <f t="shared" si="64"/>
        <v>0</v>
      </c>
      <c r="I146" s="540">
        <f t="shared" si="65"/>
        <v>0</v>
      </c>
      <c r="J146" s="476">
        <f t="shared" si="60"/>
        <v>0</v>
      </c>
      <c r="K146" s="476"/>
      <c r="L146" s="485"/>
      <c r="M146" s="476">
        <f t="shared" si="61"/>
        <v>0</v>
      </c>
      <c r="N146" s="485"/>
      <c r="O146" s="476">
        <f t="shared" si="62"/>
        <v>0</v>
      </c>
      <c r="P146" s="476">
        <f t="shared" si="63"/>
        <v>0</v>
      </c>
    </row>
    <row r="147" spans="2:16">
      <c r="B147" s="160" t="str">
        <f t="shared" si="39"/>
        <v/>
      </c>
      <c r="C147" s="470">
        <f>IF(D93="","-",+C146+1)</f>
        <v>2057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58"/>
        <v>0</v>
      </c>
      <c r="G147" s="483">
        <f t="shared" si="59"/>
        <v>0</v>
      </c>
      <c r="H147" s="486">
        <f t="shared" si="64"/>
        <v>0</v>
      </c>
      <c r="I147" s="540">
        <f t="shared" si="65"/>
        <v>0</v>
      </c>
      <c r="J147" s="476">
        <f t="shared" si="60"/>
        <v>0</v>
      </c>
      <c r="K147" s="476"/>
      <c r="L147" s="485"/>
      <c r="M147" s="476">
        <f t="shared" si="61"/>
        <v>0</v>
      </c>
      <c r="N147" s="485"/>
      <c r="O147" s="476">
        <f t="shared" si="62"/>
        <v>0</v>
      </c>
      <c r="P147" s="476">
        <f t="shared" si="63"/>
        <v>0</v>
      </c>
    </row>
    <row r="148" spans="2:16">
      <c r="B148" s="160" t="str">
        <f t="shared" si="39"/>
        <v/>
      </c>
      <c r="C148" s="470">
        <f>IF(D93="","-",+C147+1)</f>
        <v>2058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58"/>
        <v>0</v>
      </c>
      <c r="G148" s="483">
        <f t="shared" si="59"/>
        <v>0</v>
      </c>
      <c r="H148" s="486">
        <f t="shared" si="64"/>
        <v>0</v>
      </c>
      <c r="I148" s="540">
        <f t="shared" si="65"/>
        <v>0</v>
      </c>
      <c r="J148" s="476">
        <f t="shared" si="60"/>
        <v>0</v>
      </c>
      <c r="K148" s="476"/>
      <c r="L148" s="485"/>
      <c r="M148" s="476">
        <f t="shared" si="61"/>
        <v>0</v>
      </c>
      <c r="N148" s="485"/>
      <c r="O148" s="476">
        <f t="shared" si="62"/>
        <v>0</v>
      </c>
      <c r="P148" s="476">
        <f t="shared" si="63"/>
        <v>0</v>
      </c>
    </row>
    <row r="149" spans="2:16">
      <c r="B149" s="160" t="str">
        <f t="shared" si="39"/>
        <v/>
      </c>
      <c r="C149" s="470">
        <f>IF(D93="","-",+C148+1)</f>
        <v>2059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58"/>
        <v>0</v>
      </c>
      <c r="G149" s="483">
        <f t="shared" si="59"/>
        <v>0</v>
      </c>
      <c r="H149" s="486">
        <f t="shared" si="64"/>
        <v>0</v>
      </c>
      <c r="I149" s="540">
        <f t="shared" si="65"/>
        <v>0</v>
      </c>
      <c r="J149" s="476">
        <f t="shared" si="60"/>
        <v>0</v>
      </c>
      <c r="K149" s="476"/>
      <c r="L149" s="485"/>
      <c r="M149" s="476">
        <f t="shared" si="61"/>
        <v>0</v>
      </c>
      <c r="N149" s="485"/>
      <c r="O149" s="476">
        <f t="shared" si="62"/>
        <v>0</v>
      </c>
      <c r="P149" s="476">
        <f t="shared" si="63"/>
        <v>0</v>
      </c>
    </row>
    <row r="150" spans="2:16">
      <c r="B150" s="160" t="str">
        <f t="shared" si="39"/>
        <v/>
      </c>
      <c r="C150" s="470">
        <f>IF(D93="","-",+C149+1)</f>
        <v>2060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58"/>
        <v>0</v>
      </c>
      <c r="G150" s="483">
        <f t="shared" si="59"/>
        <v>0</v>
      </c>
      <c r="H150" s="486">
        <f t="shared" si="64"/>
        <v>0</v>
      </c>
      <c r="I150" s="540">
        <f t="shared" si="65"/>
        <v>0</v>
      </c>
      <c r="J150" s="476">
        <f t="shared" si="60"/>
        <v>0</v>
      </c>
      <c r="K150" s="476"/>
      <c r="L150" s="485"/>
      <c r="M150" s="476">
        <f t="shared" si="61"/>
        <v>0</v>
      </c>
      <c r="N150" s="485"/>
      <c r="O150" s="476">
        <f t="shared" si="62"/>
        <v>0</v>
      </c>
      <c r="P150" s="476">
        <f t="shared" si="63"/>
        <v>0</v>
      </c>
    </row>
    <row r="151" spans="2:16">
      <c r="B151" s="160" t="str">
        <f t="shared" si="39"/>
        <v/>
      </c>
      <c r="C151" s="470">
        <f>IF(D93="","-",+C150+1)</f>
        <v>2061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58"/>
        <v>0</v>
      </c>
      <c r="G151" s="483">
        <f t="shared" si="59"/>
        <v>0</v>
      </c>
      <c r="H151" s="486">
        <f t="shared" si="64"/>
        <v>0</v>
      </c>
      <c r="I151" s="540">
        <f t="shared" si="65"/>
        <v>0</v>
      </c>
      <c r="J151" s="476">
        <f t="shared" si="60"/>
        <v>0</v>
      </c>
      <c r="K151" s="476"/>
      <c r="L151" s="485"/>
      <c r="M151" s="476">
        <f t="shared" si="61"/>
        <v>0</v>
      </c>
      <c r="N151" s="485"/>
      <c r="O151" s="476">
        <f t="shared" si="62"/>
        <v>0</v>
      </c>
      <c r="P151" s="476">
        <f t="shared" si="63"/>
        <v>0</v>
      </c>
    </row>
    <row r="152" spans="2:16">
      <c r="B152" s="160" t="str">
        <f t="shared" si="39"/>
        <v/>
      </c>
      <c r="C152" s="470">
        <f>IF(D93="","-",+C151+1)</f>
        <v>2062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58"/>
        <v>0</v>
      </c>
      <c r="G152" s="483">
        <f t="shared" si="59"/>
        <v>0</v>
      </c>
      <c r="H152" s="486">
        <f t="shared" si="64"/>
        <v>0</v>
      </c>
      <c r="I152" s="540">
        <f t="shared" si="65"/>
        <v>0</v>
      </c>
      <c r="J152" s="476">
        <f t="shared" si="60"/>
        <v>0</v>
      </c>
      <c r="K152" s="476"/>
      <c r="L152" s="485"/>
      <c r="M152" s="476">
        <f t="shared" si="61"/>
        <v>0</v>
      </c>
      <c r="N152" s="485"/>
      <c r="O152" s="476">
        <f t="shared" si="62"/>
        <v>0</v>
      </c>
      <c r="P152" s="476">
        <f t="shared" si="63"/>
        <v>0</v>
      </c>
    </row>
    <row r="153" spans="2:16">
      <c r="B153" s="160" t="str">
        <f t="shared" si="39"/>
        <v/>
      </c>
      <c r="C153" s="470">
        <f>IF(D93="","-",+C152+1)</f>
        <v>2063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58"/>
        <v>0</v>
      </c>
      <c r="G153" s="483">
        <f t="shared" si="59"/>
        <v>0</v>
      </c>
      <c r="H153" s="486">
        <f t="shared" si="64"/>
        <v>0</v>
      </c>
      <c r="I153" s="540">
        <f t="shared" si="65"/>
        <v>0</v>
      </c>
      <c r="J153" s="476">
        <f t="shared" si="60"/>
        <v>0</v>
      </c>
      <c r="K153" s="476"/>
      <c r="L153" s="485"/>
      <c r="M153" s="476">
        <f t="shared" si="61"/>
        <v>0</v>
      </c>
      <c r="N153" s="485"/>
      <c r="O153" s="476">
        <f t="shared" si="62"/>
        <v>0</v>
      </c>
      <c r="P153" s="476">
        <f t="shared" si="63"/>
        <v>0</v>
      </c>
    </row>
    <row r="154" spans="2:16" ht="13.5" thickBot="1">
      <c r="B154" s="160" t="str">
        <f t="shared" si="39"/>
        <v/>
      </c>
      <c r="C154" s="487">
        <f>IF(D93="","-",+C153+1)</f>
        <v>2064</v>
      </c>
      <c r="D154" s="541">
        <f>IF(F153+SUM(E$99:E153)=D$92,F153,D$92-SUM(E$99:E153))</f>
        <v>0</v>
      </c>
      <c r="E154" s="542">
        <f>IF(+J96&lt;F153,J96,D154)</f>
        <v>0</v>
      </c>
      <c r="F154" s="488">
        <f t="shared" si="58"/>
        <v>0</v>
      </c>
      <c r="G154" s="488">
        <f t="shared" si="59"/>
        <v>0</v>
      </c>
      <c r="H154" s="490">
        <f t="shared" si="64"/>
        <v>0</v>
      </c>
      <c r="I154" s="543">
        <f t="shared" si="65"/>
        <v>0</v>
      </c>
      <c r="J154" s="493">
        <f t="shared" si="60"/>
        <v>0</v>
      </c>
      <c r="K154" s="476"/>
      <c r="L154" s="492"/>
      <c r="M154" s="493">
        <f t="shared" si="61"/>
        <v>0</v>
      </c>
      <c r="N154" s="492"/>
      <c r="O154" s="493">
        <f t="shared" si="62"/>
        <v>0</v>
      </c>
      <c r="P154" s="493">
        <f t="shared" si="63"/>
        <v>0</v>
      </c>
    </row>
    <row r="155" spans="2:16">
      <c r="C155" s="345" t="s">
        <v>77</v>
      </c>
      <c r="D155" s="346"/>
      <c r="E155" s="346">
        <f>SUM(E99:E154)</f>
        <v>893858</v>
      </c>
      <c r="F155" s="346"/>
      <c r="G155" s="346"/>
      <c r="H155" s="346">
        <f>SUM(H99:H154)</f>
        <v>3306336.6777418093</v>
      </c>
      <c r="I155" s="346">
        <f>SUM(I99:I154)</f>
        <v>3306336.6777418093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 t="s">
        <v>100</v>
      </c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94" t="s">
        <v>107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78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 t="s">
        <v>79</v>
      </c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46" t="s">
        <v>145</v>
      </c>
    </row>
  </sheetData>
  <phoneticPr fontId="0" type="noConversion"/>
  <conditionalFormatting sqref="C17:C72">
    <cfRule type="cellIs" dxfId="70" priority="1" stopIfTrue="1" operator="equal">
      <formula>$I$10</formula>
    </cfRule>
  </conditionalFormatting>
  <conditionalFormatting sqref="C99:C154">
    <cfRule type="cellIs" dxfId="69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0"/>
  <dimension ref="A1:P162"/>
  <sheetViews>
    <sheetView topLeftCell="A87" zoomScaleNormal="100" zoomScaleSheetLayoutView="75" workbookViewId="0">
      <selection activeCell="V52" sqref="V5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"&amp;RIGHT(MID(CELL("filename",$A$1),FIND("]",CELL("filename",$A$1))+1,256),1)&amp;" of "&amp;COUNT('P.001:P.xyz - blank'!$P$3)-1</f>
        <v>PSO Project 2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 t="str">
        <f>"For Calendar Year "&amp;V1-1&amp;" and Projected Year "&amp;V1</f>
        <v xml:space="preserve">For Calendar Year -1 and Projected Year </v>
      </c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474693.80028916837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474693.80028916837</v>
      </c>
      <c r="O6" s="231"/>
      <c r="P6" s="231"/>
    </row>
    <row r="7" spans="1:16" ht="13.5" thickBot="1">
      <c r="C7" s="429" t="s">
        <v>46</v>
      </c>
      <c r="D7" s="430" t="s">
        <v>210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/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A9" s="155"/>
      <c r="C9" s="438" t="s">
        <v>48</v>
      </c>
      <c r="D9" s="439" t="s">
        <v>80</v>
      </c>
      <c r="E9" s="575" t="s">
        <v>353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4688896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2009</v>
      </c>
      <c r="E11" s="448" t="s">
        <v>54</v>
      </c>
      <c r="F11" s="446"/>
      <c r="G11" s="194"/>
      <c r="H11" s="194"/>
      <c r="I11" s="450"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5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123392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C17" s="470">
        <f>IF(D11= "","-",D11)</f>
        <v>2009</v>
      </c>
      <c r="D17" s="471">
        <v>6704177</v>
      </c>
      <c r="E17" s="472">
        <v>73788</v>
      </c>
      <c r="F17" s="471">
        <v>6630389</v>
      </c>
      <c r="G17" s="472">
        <v>750999</v>
      </c>
      <c r="H17" s="472">
        <v>750999</v>
      </c>
      <c r="I17" s="473">
        <f t="shared" ref="I17:I48" si="0">H17-G17</f>
        <v>0</v>
      </c>
      <c r="J17" s="473"/>
      <c r="K17" s="474">
        <v>750999</v>
      </c>
      <c r="L17" s="475">
        <f t="shared" ref="L17:L48" si="1">IF(K17&lt;&gt;0,+G17-K17,0)</f>
        <v>0</v>
      </c>
      <c r="M17" s="474">
        <v>750999</v>
      </c>
      <c r="N17" s="475">
        <f t="shared" ref="N17:N48" si="2">IF(M17&lt;&gt;0,+H17-M17,0)</f>
        <v>0</v>
      </c>
      <c r="O17" s="476">
        <f t="shared" ref="O17:O48" si="3">+N17-L17</f>
        <v>0</v>
      </c>
      <c r="P17" s="241"/>
    </row>
    <row r="18" spans="2:16">
      <c r="B18" s="160" t="str">
        <f>IF(D18=F17,"","IU")</f>
        <v>IU</v>
      </c>
      <c r="C18" s="470">
        <f>IF(D11="","-",+C17+1)</f>
        <v>2010</v>
      </c>
      <c r="D18" s="477">
        <v>4651603</v>
      </c>
      <c r="E18" s="478">
        <v>84382</v>
      </c>
      <c r="F18" s="477">
        <v>4567221</v>
      </c>
      <c r="G18" s="478">
        <v>743416</v>
      </c>
      <c r="H18" s="479">
        <v>743416</v>
      </c>
      <c r="I18" s="473">
        <f t="shared" si="0"/>
        <v>0</v>
      </c>
      <c r="J18" s="473"/>
      <c r="K18" s="474">
        <f t="shared" ref="K18:K23" si="4">G18</f>
        <v>743416</v>
      </c>
      <c r="L18" s="548">
        <f t="shared" si="1"/>
        <v>0</v>
      </c>
      <c r="M18" s="474">
        <f t="shared" ref="M18:M23" si="5">H18</f>
        <v>743416</v>
      </c>
      <c r="N18" s="476">
        <f t="shared" si="2"/>
        <v>0</v>
      </c>
      <c r="O18" s="476">
        <f t="shared" si="3"/>
        <v>0</v>
      </c>
      <c r="P18" s="241"/>
    </row>
    <row r="19" spans="2:16">
      <c r="B19" s="160" t="str">
        <f>IF(D19=F18,"","IU")</f>
        <v>IU</v>
      </c>
      <c r="C19" s="470">
        <f>IF(D11="","-",+C18+1)</f>
        <v>2011</v>
      </c>
      <c r="D19" s="477">
        <v>4530726</v>
      </c>
      <c r="E19" s="478">
        <v>91939.137254901958</v>
      </c>
      <c r="F19" s="477">
        <v>4438786.8627450978</v>
      </c>
      <c r="G19" s="478">
        <v>786801.66702531651</v>
      </c>
      <c r="H19" s="479">
        <v>786801.66702531651</v>
      </c>
      <c r="I19" s="473">
        <f t="shared" si="0"/>
        <v>0</v>
      </c>
      <c r="J19" s="473"/>
      <c r="K19" s="474">
        <f t="shared" si="4"/>
        <v>786801.66702531651</v>
      </c>
      <c r="L19" s="548">
        <f t="shared" si="1"/>
        <v>0</v>
      </c>
      <c r="M19" s="474">
        <f t="shared" si="5"/>
        <v>786801.66702531651</v>
      </c>
      <c r="N19" s="476">
        <f t="shared" si="2"/>
        <v>0</v>
      </c>
      <c r="O19" s="476">
        <f t="shared" si="3"/>
        <v>0</v>
      </c>
      <c r="P19" s="241"/>
    </row>
    <row r="20" spans="2:16">
      <c r="B20" s="160" t="str">
        <f t="shared" ref="B20:B72" si="6">IF(D20=F19,"","IU")</f>
        <v/>
      </c>
      <c r="C20" s="470">
        <f>IF(D11="","-",+C19+1)</f>
        <v>2012</v>
      </c>
      <c r="D20" s="477">
        <v>4438786.8627450978</v>
      </c>
      <c r="E20" s="478">
        <v>90171.076923076922</v>
      </c>
      <c r="F20" s="477">
        <v>4348615.7858220208</v>
      </c>
      <c r="G20" s="478">
        <v>695527.67751323315</v>
      </c>
      <c r="H20" s="479">
        <v>695527.67751323315</v>
      </c>
      <c r="I20" s="473">
        <f t="shared" si="0"/>
        <v>0</v>
      </c>
      <c r="J20" s="473"/>
      <c r="K20" s="474">
        <f t="shared" si="4"/>
        <v>695527.67751323315</v>
      </c>
      <c r="L20" s="548">
        <f t="shared" si="1"/>
        <v>0</v>
      </c>
      <c r="M20" s="474">
        <f t="shared" si="5"/>
        <v>695527.67751323315</v>
      </c>
      <c r="N20" s="476">
        <f t="shared" si="2"/>
        <v>0</v>
      </c>
      <c r="O20" s="476">
        <f t="shared" si="3"/>
        <v>0</v>
      </c>
      <c r="P20" s="241"/>
    </row>
    <row r="21" spans="2:16">
      <c r="B21" s="160" t="str">
        <f t="shared" si="6"/>
        <v/>
      </c>
      <c r="C21" s="470">
        <f>IF(D12="","-",+C20+1)</f>
        <v>2013</v>
      </c>
      <c r="D21" s="477">
        <v>4348615.7858220208</v>
      </c>
      <c r="E21" s="478">
        <v>90171.076923076922</v>
      </c>
      <c r="F21" s="477">
        <v>4258444.7088989438</v>
      </c>
      <c r="G21" s="478">
        <v>698305.7699783385</v>
      </c>
      <c r="H21" s="479">
        <v>698305.7699783385</v>
      </c>
      <c r="I21" s="473">
        <v>0</v>
      </c>
      <c r="J21" s="473"/>
      <c r="K21" s="474">
        <f t="shared" si="4"/>
        <v>698305.7699783385</v>
      </c>
      <c r="L21" s="548">
        <f t="shared" ref="L21:L26" si="7">IF(K21&lt;&gt;0,+G21-K21,0)</f>
        <v>0</v>
      </c>
      <c r="M21" s="474">
        <f t="shared" si="5"/>
        <v>698305.7699783385</v>
      </c>
      <c r="N21" s="476">
        <f t="shared" ref="N21:N26" si="8">IF(M21&lt;&gt;0,+H21-M21,0)</f>
        <v>0</v>
      </c>
      <c r="O21" s="476">
        <f t="shared" ref="O21:O26" si="9">+N21-L21</f>
        <v>0</v>
      </c>
      <c r="P21" s="241"/>
    </row>
    <row r="22" spans="2:16">
      <c r="B22" s="160" t="str">
        <f t="shared" si="6"/>
        <v/>
      </c>
      <c r="C22" s="470">
        <f>IF(D11="","-",+C21+1)</f>
        <v>2014</v>
      </c>
      <c r="D22" s="477">
        <v>4258444.7088989438</v>
      </c>
      <c r="E22" s="478">
        <v>90171.076923076922</v>
      </c>
      <c r="F22" s="477">
        <v>4168273.6319758669</v>
      </c>
      <c r="G22" s="478">
        <v>663970.48849892756</v>
      </c>
      <c r="H22" s="479">
        <v>663970.48849892756</v>
      </c>
      <c r="I22" s="473">
        <v>0</v>
      </c>
      <c r="J22" s="473"/>
      <c r="K22" s="474">
        <f t="shared" si="4"/>
        <v>663970.48849892756</v>
      </c>
      <c r="L22" s="548">
        <f t="shared" si="7"/>
        <v>0</v>
      </c>
      <c r="M22" s="474">
        <f t="shared" si="5"/>
        <v>663970.48849892756</v>
      </c>
      <c r="N22" s="476">
        <f t="shared" si="8"/>
        <v>0</v>
      </c>
      <c r="O22" s="476">
        <f t="shared" si="9"/>
        <v>0</v>
      </c>
      <c r="P22" s="241"/>
    </row>
    <row r="23" spans="2:16">
      <c r="B23" s="160" t="str">
        <f t="shared" si="6"/>
        <v/>
      </c>
      <c r="C23" s="470">
        <f>IF(D11="","-",+C22+1)</f>
        <v>2015</v>
      </c>
      <c r="D23" s="477">
        <v>4168273.6319758669</v>
      </c>
      <c r="E23" s="478">
        <v>90171.076923076922</v>
      </c>
      <c r="F23" s="477">
        <v>4078102.5550527899</v>
      </c>
      <c r="G23" s="478">
        <v>652425.83265151177</v>
      </c>
      <c r="H23" s="479">
        <v>652425.83265151177</v>
      </c>
      <c r="I23" s="473">
        <v>0</v>
      </c>
      <c r="J23" s="473"/>
      <c r="K23" s="474">
        <f t="shared" si="4"/>
        <v>652425.83265151177</v>
      </c>
      <c r="L23" s="548">
        <f t="shared" si="7"/>
        <v>0</v>
      </c>
      <c r="M23" s="474">
        <f t="shared" si="5"/>
        <v>652425.83265151177</v>
      </c>
      <c r="N23" s="476">
        <f t="shared" si="8"/>
        <v>0</v>
      </c>
      <c r="O23" s="476">
        <f t="shared" si="9"/>
        <v>0</v>
      </c>
      <c r="P23" s="241"/>
    </row>
    <row r="24" spans="2:16">
      <c r="B24" s="160" t="str">
        <f t="shared" si="6"/>
        <v/>
      </c>
      <c r="C24" s="470">
        <f>IF(D11="","-",+C23+1)</f>
        <v>2016</v>
      </c>
      <c r="D24" s="477">
        <v>4078102.5550527899</v>
      </c>
      <c r="E24" s="478">
        <v>90171.076923076922</v>
      </c>
      <c r="F24" s="477">
        <v>3987931.4781297129</v>
      </c>
      <c r="G24" s="478">
        <v>613226.71011811122</v>
      </c>
      <c r="H24" s="479">
        <v>613226.71011811122</v>
      </c>
      <c r="I24" s="473">
        <f t="shared" si="0"/>
        <v>0</v>
      </c>
      <c r="J24" s="473"/>
      <c r="K24" s="474">
        <f t="shared" ref="K24:K29" si="10">G24</f>
        <v>613226.71011811122</v>
      </c>
      <c r="L24" s="548">
        <f t="shared" si="7"/>
        <v>0</v>
      </c>
      <c r="M24" s="474">
        <f t="shared" ref="M24:M29" si="11">H24</f>
        <v>613226.71011811122</v>
      </c>
      <c r="N24" s="476">
        <f t="shared" si="8"/>
        <v>0</v>
      </c>
      <c r="O24" s="476">
        <f t="shared" si="9"/>
        <v>0</v>
      </c>
      <c r="P24" s="241"/>
    </row>
    <row r="25" spans="2:16">
      <c r="B25" s="160" t="str">
        <f t="shared" si="6"/>
        <v/>
      </c>
      <c r="C25" s="470">
        <f>IF(D11="","-",+C24+1)</f>
        <v>2017</v>
      </c>
      <c r="D25" s="477">
        <v>3987931.4781297129</v>
      </c>
      <c r="E25" s="478">
        <v>101932.52173913043</v>
      </c>
      <c r="F25" s="477">
        <v>3885998.9563905825</v>
      </c>
      <c r="G25" s="478">
        <v>596467.29312714399</v>
      </c>
      <c r="H25" s="479">
        <v>596467.29312714399</v>
      </c>
      <c r="I25" s="473">
        <f t="shared" si="0"/>
        <v>0</v>
      </c>
      <c r="J25" s="549"/>
      <c r="K25" s="474">
        <f t="shared" si="10"/>
        <v>596467.29312714399</v>
      </c>
      <c r="L25" s="548">
        <f t="shared" si="7"/>
        <v>0</v>
      </c>
      <c r="M25" s="474">
        <f t="shared" si="11"/>
        <v>596467.29312714399</v>
      </c>
      <c r="N25" s="476">
        <f t="shared" si="8"/>
        <v>0</v>
      </c>
      <c r="O25" s="476">
        <f t="shared" si="9"/>
        <v>0</v>
      </c>
      <c r="P25" s="241"/>
    </row>
    <row r="26" spans="2:16">
      <c r="B26" s="160" t="str">
        <f t="shared" si="6"/>
        <v/>
      </c>
      <c r="C26" s="470">
        <f>IF(D11="","-",+C25+1)</f>
        <v>2018</v>
      </c>
      <c r="D26" s="477">
        <v>3885998.9563905825</v>
      </c>
      <c r="E26" s="478">
        <v>104197.68888888889</v>
      </c>
      <c r="F26" s="477">
        <v>3781801.2675016937</v>
      </c>
      <c r="G26" s="478">
        <v>563341.50507496181</v>
      </c>
      <c r="H26" s="479">
        <v>563341.50507496181</v>
      </c>
      <c r="I26" s="473">
        <f t="shared" si="0"/>
        <v>0</v>
      </c>
      <c r="J26" s="549"/>
      <c r="K26" s="474">
        <f t="shared" si="10"/>
        <v>563341.50507496181</v>
      </c>
      <c r="L26" s="548">
        <f t="shared" si="7"/>
        <v>0</v>
      </c>
      <c r="M26" s="474">
        <f t="shared" si="11"/>
        <v>563341.50507496181</v>
      </c>
      <c r="N26" s="476">
        <f t="shared" si="8"/>
        <v>0</v>
      </c>
      <c r="O26" s="476">
        <f t="shared" si="9"/>
        <v>0</v>
      </c>
      <c r="P26" s="241"/>
    </row>
    <row r="27" spans="2:16">
      <c r="B27" s="160" t="str">
        <f t="shared" si="6"/>
        <v/>
      </c>
      <c r="C27" s="470">
        <f>IF(D11="","-",+C26+1)</f>
        <v>2019</v>
      </c>
      <c r="D27" s="477">
        <v>3781801.2675016937</v>
      </c>
      <c r="E27" s="478">
        <v>117222.39999999999</v>
      </c>
      <c r="F27" s="477">
        <v>3664578.8675016938</v>
      </c>
      <c r="G27" s="478">
        <v>532941.26061774243</v>
      </c>
      <c r="H27" s="479">
        <v>532941.26061774243</v>
      </c>
      <c r="I27" s="473">
        <f t="shared" si="0"/>
        <v>0</v>
      </c>
      <c r="J27" s="550"/>
      <c r="K27" s="474">
        <f t="shared" si="10"/>
        <v>532941.26061774243</v>
      </c>
      <c r="L27" s="548">
        <f t="shared" ref="L27" si="12">IF(K27&lt;&gt;0,+G27-K27,0)</f>
        <v>0</v>
      </c>
      <c r="M27" s="474">
        <f t="shared" si="11"/>
        <v>532941.26061774243</v>
      </c>
      <c r="N27" s="476">
        <f t="shared" ref="N27" si="13">IF(M27&lt;&gt;0,+H27-M27,0)</f>
        <v>0</v>
      </c>
      <c r="O27" s="476">
        <f t="shared" ref="O27" si="14">+N27-L27</f>
        <v>0</v>
      </c>
      <c r="P27" s="241"/>
    </row>
    <row r="28" spans="2:16">
      <c r="B28" s="160" t="str">
        <f t="shared" si="6"/>
        <v>IU</v>
      </c>
      <c r="C28" s="470">
        <f>IF(D11="","-",+C27+1)</f>
        <v>2020</v>
      </c>
      <c r="D28" s="477">
        <v>3677603.5786128049</v>
      </c>
      <c r="E28" s="478">
        <v>111640.38095238095</v>
      </c>
      <c r="F28" s="477">
        <v>3565963.1976604238</v>
      </c>
      <c r="G28" s="478">
        <v>502810.28780425031</v>
      </c>
      <c r="H28" s="479">
        <v>502810.28780425031</v>
      </c>
      <c r="I28" s="473">
        <f t="shared" si="0"/>
        <v>0</v>
      </c>
      <c r="J28" s="473"/>
      <c r="K28" s="474">
        <f t="shared" si="10"/>
        <v>502810.28780425031</v>
      </c>
      <c r="L28" s="548">
        <f t="shared" ref="L28" si="15">IF(K28&lt;&gt;0,+G28-K28,0)</f>
        <v>0</v>
      </c>
      <c r="M28" s="474">
        <f t="shared" si="11"/>
        <v>502810.28780425031</v>
      </c>
      <c r="N28" s="476">
        <f t="shared" si="2"/>
        <v>0</v>
      </c>
      <c r="O28" s="476">
        <f t="shared" si="3"/>
        <v>0</v>
      </c>
      <c r="P28" s="241"/>
    </row>
    <row r="29" spans="2:16">
      <c r="B29" s="160" t="str">
        <f t="shared" si="6"/>
        <v>IU</v>
      </c>
      <c r="C29" s="470">
        <f>IF(D11="","-",+C28+1)</f>
        <v>2021</v>
      </c>
      <c r="D29" s="477">
        <v>3552938.4865493132</v>
      </c>
      <c r="E29" s="478">
        <v>109044.09302325582</v>
      </c>
      <c r="F29" s="477">
        <v>3443894.3935260572</v>
      </c>
      <c r="G29" s="478">
        <v>480370.47549623175</v>
      </c>
      <c r="H29" s="479">
        <v>480370.47549623175</v>
      </c>
      <c r="I29" s="473">
        <f t="shared" si="0"/>
        <v>0</v>
      </c>
      <c r="J29" s="473"/>
      <c r="K29" s="474">
        <f t="shared" si="10"/>
        <v>480370.47549623175</v>
      </c>
      <c r="L29" s="548">
        <f t="shared" ref="L29" si="16">IF(K29&lt;&gt;0,+G29-K29,0)</f>
        <v>0</v>
      </c>
      <c r="M29" s="474">
        <f t="shared" si="11"/>
        <v>480370.47549623175</v>
      </c>
      <c r="N29" s="476">
        <f t="shared" si="2"/>
        <v>0</v>
      </c>
      <c r="O29" s="476">
        <f t="shared" si="3"/>
        <v>0</v>
      </c>
      <c r="P29" s="241"/>
    </row>
    <row r="30" spans="2:16">
      <c r="B30" s="160" t="str">
        <f t="shared" si="6"/>
        <v/>
      </c>
      <c r="C30" s="470">
        <f>IF(D11="","-",+C29+1)</f>
        <v>2022</v>
      </c>
      <c r="D30" s="477">
        <v>3443894.3935260572</v>
      </c>
      <c r="E30" s="478">
        <v>111640.38095238095</v>
      </c>
      <c r="F30" s="477">
        <v>3332254.0125736762</v>
      </c>
      <c r="G30" s="478">
        <v>470894.83739416272</v>
      </c>
      <c r="H30" s="479">
        <v>470894.83739416272</v>
      </c>
      <c r="I30" s="473">
        <f t="shared" si="0"/>
        <v>0</v>
      </c>
      <c r="J30" s="473"/>
      <c r="K30" s="474">
        <f t="shared" ref="K30" si="17">G30</f>
        <v>470894.83739416272</v>
      </c>
      <c r="L30" s="548">
        <f t="shared" ref="L30" si="18">IF(K30&lt;&gt;0,+G30-K30,0)</f>
        <v>0</v>
      </c>
      <c r="M30" s="474">
        <f t="shared" ref="M30" si="19">H30</f>
        <v>470894.83739416272</v>
      </c>
      <c r="N30" s="476">
        <f t="shared" si="2"/>
        <v>0</v>
      </c>
      <c r="O30" s="476">
        <f t="shared" si="3"/>
        <v>0</v>
      </c>
      <c r="P30" s="241"/>
    </row>
    <row r="31" spans="2:16">
      <c r="B31" s="160" t="str">
        <f t="shared" si="6"/>
        <v/>
      </c>
      <c r="C31" s="470">
        <f>IF(D11="","-",+C30+1)</f>
        <v>2023</v>
      </c>
      <c r="D31" s="477">
        <v>3332254.0125736762</v>
      </c>
      <c r="E31" s="478">
        <v>120228.10256410256</v>
      </c>
      <c r="F31" s="477">
        <v>3212025.9100095737</v>
      </c>
      <c r="G31" s="478">
        <v>503612.14466528577</v>
      </c>
      <c r="H31" s="479">
        <v>503612.14466528577</v>
      </c>
      <c r="I31" s="473">
        <f t="shared" si="0"/>
        <v>0</v>
      </c>
      <c r="J31" s="473"/>
      <c r="K31" s="474">
        <f t="shared" ref="K31" si="20">G31</f>
        <v>503612.14466528577</v>
      </c>
      <c r="L31" s="548">
        <f t="shared" ref="L31" si="21">IF(K31&lt;&gt;0,+G31-K31,0)</f>
        <v>0</v>
      </c>
      <c r="M31" s="474">
        <f t="shared" ref="M31" si="22">H31</f>
        <v>503612.14466528577</v>
      </c>
      <c r="N31" s="476">
        <f t="shared" ref="N31" si="23">IF(M31&lt;&gt;0,+H31-M31,0)</f>
        <v>0</v>
      </c>
      <c r="O31" s="476">
        <f t="shared" ref="O31" si="24">+N31-L31</f>
        <v>0</v>
      </c>
      <c r="P31" s="241"/>
    </row>
    <row r="32" spans="2:16">
      <c r="B32" s="160" t="str">
        <f t="shared" si="6"/>
        <v/>
      </c>
      <c r="C32" s="631">
        <f>IF(D11="","-",+C31+1)</f>
        <v>2024</v>
      </c>
      <c r="D32" s="483">
        <f>IF(F31+SUM(E$17:E31)=D$10,F31,D$10-SUM(E$17:E31))</f>
        <v>3212025.9100095737</v>
      </c>
      <c r="E32" s="482">
        <f>IF(+I14&lt;F31,I14,D32)</f>
        <v>123392</v>
      </c>
      <c r="F32" s="483">
        <f t="shared" ref="F32:F48" si="25">+D32-E32</f>
        <v>3088633.9100095737</v>
      </c>
      <c r="G32" s="484">
        <f t="shared" ref="G32:G72" si="26">+I$12*F32+E32</f>
        <v>474693.80028916837</v>
      </c>
      <c r="H32" s="453">
        <f t="shared" ref="H32:H72" si="27">+I$13*F32+E32</f>
        <v>474693.80028916837</v>
      </c>
      <c r="I32" s="473">
        <f t="shared" si="0"/>
        <v>0</v>
      </c>
      <c r="J32" s="473"/>
      <c r="K32" s="485"/>
      <c r="L32" s="476">
        <f t="shared" si="1"/>
        <v>0</v>
      </c>
      <c r="M32" s="485"/>
      <c r="N32" s="476">
        <f t="shared" si="2"/>
        <v>0</v>
      </c>
      <c r="O32" s="476">
        <f t="shared" si="3"/>
        <v>0</v>
      </c>
      <c r="P32" s="241"/>
    </row>
    <row r="33" spans="2:16">
      <c r="B33" s="160" t="str">
        <f t="shared" si="6"/>
        <v/>
      </c>
      <c r="C33" s="470">
        <f>IF(D11="","-",+C32+1)</f>
        <v>2025</v>
      </c>
      <c r="D33" s="483">
        <f>IF(F32+SUM(E$17:E32)=D$10,F32,D$10-SUM(E$17:E32))</f>
        <v>3088633.9100095737</v>
      </c>
      <c r="E33" s="482">
        <f>IF(+I14&lt;F32,I14,D33)</f>
        <v>123392</v>
      </c>
      <c r="F33" s="483">
        <f t="shared" si="25"/>
        <v>2965241.9100095737</v>
      </c>
      <c r="G33" s="484">
        <f t="shared" si="26"/>
        <v>460659.17106334772</v>
      </c>
      <c r="H33" s="453">
        <f t="shared" si="27"/>
        <v>460659.17106334772</v>
      </c>
      <c r="I33" s="473">
        <f t="shared" si="0"/>
        <v>0</v>
      </c>
      <c r="J33" s="473"/>
      <c r="K33" s="485"/>
      <c r="L33" s="476">
        <f t="shared" si="1"/>
        <v>0</v>
      </c>
      <c r="M33" s="485"/>
      <c r="N33" s="476">
        <f t="shared" si="2"/>
        <v>0</v>
      </c>
      <c r="O33" s="476">
        <f t="shared" si="3"/>
        <v>0</v>
      </c>
      <c r="P33" s="241"/>
    </row>
    <row r="34" spans="2:16">
      <c r="B34" s="160" t="str">
        <f t="shared" si="6"/>
        <v/>
      </c>
      <c r="C34" s="470">
        <f>IF(D11="","-",+C33+1)</f>
        <v>2026</v>
      </c>
      <c r="D34" s="483">
        <f>IF(F33+SUM(E$17:E33)=D$10,F33,D$10-SUM(E$17:E33))</f>
        <v>2965241.9100095737</v>
      </c>
      <c r="E34" s="482">
        <f>IF(+I14&lt;F33,I14,D34)</f>
        <v>123392</v>
      </c>
      <c r="F34" s="483">
        <f t="shared" si="25"/>
        <v>2841849.9100095737</v>
      </c>
      <c r="G34" s="484">
        <f t="shared" si="26"/>
        <v>446624.54183752707</v>
      </c>
      <c r="H34" s="453">
        <f t="shared" si="27"/>
        <v>446624.54183752707</v>
      </c>
      <c r="I34" s="473">
        <f t="shared" si="0"/>
        <v>0</v>
      </c>
      <c r="J34" s="473"/>
      <c r="K34" s="485"/>
      <c r="L34" s="476">
        <f t="shared" si="1"/>
        <v>0</v>
      </c>
      <c r="M34" s="485"/>
      <c r="N34" s="476">
        <f t="shared" si="2"/>
        <v>0</v>
      </c>
      <c r="O34" s="476">
        <f t="shared" si="3"/>
        <v>0</v>
      </c>
      <c r="P34" s="241"/>
    </row>
    <row r="35" spans="2:16">
      <c r="B35" s="160" t="str">
        <f t="shared" si="6"/>
        <v/>
      </c>
      <c r="C35" s="470">
        <f>IF(D11="","-",+C34+1)</f>
        <v>2027</v>
      </c>
      <c r="D35" s="483">
        <f>IF(F34+SUM(E$17:E34)=D$10,F34,D$10-SUM(E$17:E34))</f>
        <v>2841849.9100095737</v>
      </c>
      <c r="E35" s="482">
        <f>IF(+I14&lt;F34,I14,D35)</f>
        <v>123392</v>
      </c>
      <c r="F35" s="483">
        <f t="shared" si="25"/>
        <v>2718457.9100095737</v>
      </c>
      <c r="G35" s="484">
        <f t="shared" si="26"/>
        <v>432589.91261170642</v>
      </c>
      <c r="H35" s="453">
        <f t="shared" si="27"/>
        <v>432589.91261170642</v>
      </c>
      <c r="I35" s="473">
        <f t="shared" si="0"/>
        <v>0</v>
      </c>
      <c r="J35" s="473"/>
      <c r="K35" s="485"/>
      <c r="L35" s="476">
        <f t="shared" si="1"/>
        <v>0</v>
      </c>
      <c r="M35" s="485"/>
      <c r="N35" s="476">
        <f t="shared" si="2"/>
        <v>0</v>
      </c>
      <c r="O35" s="476">
        <f t="shared" si="3"/>
        <v>0</v>
      </c>
      <c r="P35" s="241"/>
    </row>
    <row r="36" spans="2:16">
      <c r="B36" s="160" t="str">
        <f t="shared" si="6"/>
        <v/>
      </c>
      <c r="C36" s="470">
        <f>IF(D11="","-",+C35+1)</f>
        <v>2028</v>
      </c>
      <c r="D36" s="483">
        <f>IF(F35+SUM(E$17:E35)=D$10,F35,D$10-SUM(E$17:E35))</f>
        <v>2718457.9100095737</v>
      </c>
      <c r="E36" s="482">
        <f>IF(+I14&lt;F35,I14,D36)</f>
        <v>123392</v>
      </c>
      <c r="F36" s="483">
        <f t="shared" si="25"/>
        <v>2595065.9100095737</v>
      </c>
      <c r="G36" s="484">
        <f t="shared" si="26"/>
        <v>418555.28338588576</v>
      </c>
      <c r="H36" s="453">
        <f t="shared" si="27"/>
        <v>418555.28338588576</v>
      </c>
      <c r="I36" s="473">
        <f t="shared" si="0"/>
        <v>0</v>
      </c>
      <c r="J36" s="473"/>
      <c r="K36" s="485"/>
      <c r="L36" s="476">
        <f t="shared" si="1"/>
        <v>0</v>
      </c>
      <c r="M36" s="485"/>
      <c r="N36" s="476">
        <f t="shared" si="2"/>
        <v>0</v>
      </c>
      <c r="O36" s="476">
        <f t="shared" si="3"/>
        <v>0</v>
      </c>
      <c r="P36" s="241"/>
    </row>
    <row r="37" spans="2:16">
      <c r="B37" s="160" t="str">
        <f t="shared" si="6"/>
        <v/>
      </c>
      <c r="C37" s="470">
        <f>IF(D11="","-",+C36+1)</f>
        <v>2029</v>
      </c>
      <c r="D37" s="483">
        <f>IF(F36+SUM(E$17:E36)=D$10,F36,D$10-SUM(E$17:E36))</f>
        <v>2595065.9100095737</v>
      </c>
      <c r="E37" s="482">
        <f>IF(+I14&lt;F36,I14,D37)</f>
        <v>123392</v>
      </c>
      <c r="F37" s="483">
        <f t="shared" si="25"/>
        <v>2471673.9100095737</v>
      </c>
      <c r="G37" s="484">
        <f t="shared" si="26"/>
        <v>404520.65416006511</v>
      </c>
      <c r="H37" s="453">
        <f t="shared" si="27"/>
        <v>404520.65416006511</v>
      </c>
      <c r="I37" s="473">
        <f t="shared" si="0"/>
        <v>0</v>
      </c>
      <c r="J37" s="473"/>
      <c r="K37" s="485"/>
      <c r="L37" s="476">
        <f t="shared" si="1"/>
        <v>0</v>
      </c>
      <c r="M37" s="485"/>
      <c r="N37" s="476">
        <f t="shared" si="2"/>
        <v>0</v>
      </c>
      <c r="O37" s="476">
        <f t="shared" si="3"/>
        <v>0</v>
      </c>
      <c r="P37" s="241"/>
    </row>
    <row r="38" spans="2:16">
      <c r="B38" s="160" t="str">
        <f t="shared" si="6"/>
        <v/>
      </c>
      <c r="C38" s="470">
        <f>IF(D11="","-",+C37+1)</f>
        <v>2030</v>
      </c>
      <c r="D38" s="483">
        <f>IF(F37+SUM(E$17:E37)=D$10,F37,D$10-SUM(E$17:E37))</f>
        <v>2471673.9100095737</v>
      </c>
      <c r="E38" s="482">
        <f>IF(+I14&lt;F37,I14,D38)</f>
        <v>123392</v>
      </c>
      <c r="F38" s="483">
        <f t="shared" si="25"/>
        <v>2348281.9100095737</v>
      </c>
      <c r="G38" s="484">
        <f t="shared" si="26"/>
        <v>390486.02493424446</v>
      </c>
      <c r="H38" s="453">
        <f t="shared" si="27"/>
        <v>390486.02493424446</v>
      </c>
      <c r="I38" s="473">
        <f t="shared" si="0"/>
        <v>0</v>
      </c>
      <c r="J38" s="473"/>
      <c r="K38" s="485"/>
      <c r="L38" s="476">
        <f t="shared" si="1"/>
        <v>0</v>
      </c>
      <c r="M38" s="485"/>
      <c r="N38" s="476">
        <f t="shared" si="2"/>
        <v>0</v>
      </c>
      <c r="O38" s="476">
        <f t="shared" si="3"/>
        <v>0</v>
      </c>
      <c r="P38" s="241"/>
    </row>
    <row r="39" spans="2:16">
      <c r="B39" s="160" t="str">
        <f t="shared" si="6"/>
        <v/>
      </c>
      <c r="C39" s="470">
        <f>IF(D11="","-",+C38+1)</f>
        <v>2031</v>
      </c>
      <c r="D39" s="483">
        <f>IF(F38+SUM(E$17:E38)=D$10,F38,D$10-SUM(E$17:E38))</f>
        <v>2348281.9100095737</v>
      </c>
      <c r="E39" s="482">
        <f>IF(+I14&lt;F38,I14,D39)</f>
        <v>123392</v>
      </c>
      <c r="F39" s="483">
        <f t="shared" si="25"/>
        <v>2224889.9100095737</v>
      </c>
      <c r="G39" s="484">
        <f t="shared" si="26"/>
        <v>376451.39570842381</v>
      </c>
      <c r="H39" s="453">
        <f t="shared" si="27"/>
        <v>376451.39570842381</v>
      </c>
      <c r="I39" s="473">
        <f t="shared" si="0"/>
        <v>0</v>
      </c>
      <c r="J39" s="473"/>
      <c r="K39" s="485"/>
      <c r="L39" s="476">
        <f t="shared" si="1"/>
        <v>0</v>
      </c>
      <c r="M39" s="485"/>
      <c r="N39" s="476">
        <f t="shared" si="2"/>
        <v>0</v>
      </c>
      <c r="O39" s="476">
        <f t="shared" si="3"/>
        <v>0</v>
      </c>
      <c r="P39" s="241"/>
    </row>
    <row r="40" spans="2:16">
      <c r="B40" s="160" t="str">
        <f t="shared" si="6"/>
        <v/>
      </c>
      <c r="C40" s="470">
        <f>IF(D11="","-",+C39+1)</f>
        <v>2032</v>
      </c>
      <c r="D40" s="483">
        <f>IF(F39+SUM(E$17:E39)=D$10,F39,D$10-SUM(E$17:E39))</f>
        <v>2224889.9100095737</v>
      </c>
      <c r="E40" s="482">
        <f>IF(+I14&lt;F39,I14,D40)</f>
        <v>123392</v>
      </c>
      <c r="F40" s="483">
        <f t="shared" si="25"/>
        <v>2101497.9100095737</v>
      </c>
      <c r="G40" s="484">
        <f t="shared" si="26"/>
        <v>362416.76648260315</v>
      </c>
      <c r="H40" s="453">
        <f t="shared" si="27"/>
        <v>362416.76648260315</v>
      </c>
      <c r="I40" s="473">
        <f t="shared" si="0"/>
        <v>0</v>
      </c>
      <c r="J40" s="473"/>
      <c r="K40" s="485"/>
      <c r="L40" s="476">
        <f t="shared" si="1"/>
        <v>0</v>
      </c>
      <c r="M40" s="485"/>
      <c r="N40" s="476">
        <f t="shared" si="2"/>
        <v>0</v>
      </c>
      <c r="O40" s="476">
        <f t="shared" si="3"/>
        <v>0</v>
      </c>
      <c r="P40" s="241"/>
    </row>
    <row r="41" spans="2:16">
      <c r="B41" s="160" t="str">
        <f t="shared" si="6"/>
        <v/>
      </c>
      <c r="C41" s="470">
        <f>IF(D11="","-",+C40+1)</f>
        <v>2033</v>
      </c>
      <c r="D41" s="483">
        <f>IF(F40+SUM(E$17:E40)=D$10,F40,D$10-SUM(E$17:E40))</f>
        <v>2101497.9100095737</v>
      </c>
      <c r="E41" s="482">
        <f>IF(+I14&lt;F40,I14,D41)</f>
        <v>123392</v>
      </c>
      <c r="F41" s="483">
        <f t="shared" si="25"/>
        <v>1978105.9100095737</v>
      </c>
      <c r="G41" s="484">
        <f t="shared" si="26"/>
        <v>348382.1372567825</v>
      </c>
      <c r="H41" s="453">
        <f t="shared" si="27"/>
        <v>348382.1372567825</v>
      </c>
      <c r="I41" s="473">
        <f t="shared" si="0"/>
        <v>0</v>
      </c>
      <c r="J41" s="473"/>
      <c r="K41" s="485"/>
      <c r="L41" s="476">
        <f t="shared" si="1"/>
        <v>0</v>
      </c>
      <c r="M41" s="485"/>
      <c r="N41" s="476">
        <f t="shared" si="2"/>
        <v>0</v>
      </c>
      <c r="O41" s="476">
        <f t="shared" si="3"/>
        <v>0</v>
      </c>
      <c r="P41" s="241"/>
    </row>
    <row r="42" spans="2:16">
      <c r="B42" s="160" t="str">
        <f t="shared" si="6"/>
        <v/>
      </c>
      <c r="C42" s="470">
        <f>IF(D11="","-",+C41+1)</f>
        <v>2034</v>
      </c>
      <c r="D42" s="483">
        <f>IF(F41+SUM(E$17:E41)=D$10,F41,D$10-SUM(E$17:E41))</f>
        <v>1978105.9100095737</v>
      </c>
      <c r="E42" s="482">
        <f>IF(+I14&lt;F41,I14,D42)</f>
        <v>123392</v>
      </c>
      <c r="F42" s="483">
        <f t="shared" si="25"/>
        <v>1854713.9100095737</v>
      </c>
      <c r="G42" s="484">
        <f t="shared" si="26"/>
        <v>334347.50803096185</v>
      </c>
      <c r="H42" s="453">
        <f t="shared" si="27"/>
        <v>334347.50803096185</v>
      </c>
      <c r="I42" s="473">
        <f t="shared" si="0"/>
        <v>0</v>
      </c>
      <c r="J42" s="473"/>
      <c r="K42" s="485"/>
      <c r="L42" s="476">
        <f t="shared" si="1"/>
        <v>0</v>
      </c>
      <c r="M42" s="485"/>
      <c r="N42" s="476">
        <f t="shared" si="2"/>
        <v>0</v>
      </c>
      <c r="O42" s="476">
        <f t="shared" si="3"/>
        <v>0</v>
      </c>
      <c r="P42" s="241"/>
    </row>
    <row r="43" spans="2:16">
      <c r="B43" s="160" t="str">
        <f t="shared" si="6"/>
        <v/>
      </c>
      <c r="C43" s="470">
        <f>IF(D11="","-",+C42+1)</f>
        <v>2035</v>
      </c>
      <c r="D43" s="483">
        <f>IF(F42+SUM(E$17:E42)=D$10,F42,D$10-SUM(E$17:E42))</f>
        <v>1854713.9100095737</v>
      </c>
      <c r="E43" s="482">
        <f>IF(+I14&lt;F42,I14,D43)</f>
        <v>123392</v>
      </c>
      <c r="F43" s="483">
        <f t="shared" si="25"/>
        <v>1731321.9100095737</v>
      </c>
      <c r="G43" s="484">
        <f t="shared" si="26"/>
        <v>320312.8788051412</v>
      </c>
      <c r="H43" s="453">
        <f t="shared" si="27"/>
        <v>320312.8788051412</v>
      </c>
      <c r="I43" s="473">
        <f t="shared" si="0"/>
        <v>0</v>
      </c>
      <c r="J43" s="473"/>
      <c r="K43" s="485"/>
      <c r="L43" s="476">
        <f t="shared" si="1"/>
        <v>0</v>
      </c>
      <c r="M43" s="485"/>
      <c r="N43" s="476">
        <f t="shared" si="2"/>
        <v>0</v>
      </c>
      <c r="O43" s="476">
        <f t="shared" si="3"/>
        <v>0</v>
      </c>
      <c r="P43" s="241"/>
    </row>
    <row r="44" spans="2:16">
      <c r="B44" s="160" t="str">
        <f t="shared" si="6"/>
        <v/>
      </c>
      <c r="C44" s="470">
        <f>IF(D11="","-",+C43+1)</f>
        <v>2036</v>
      </c>
      <c r="D44" s="483">
        <f>IF(F43+SUM(E$17:E43)=D$10,F43,D$10-SUM(E$17:E43))</f>
        <v>1731321.9100095737</v>
      </c>
      <c r="E44" s="482">
        <f>IF(+I14&lt;F43,I14,D44)</f>
        <v>123392</v>
      </c>
      <c r="F44" s="483">
        <f t="shared" si="25"/>
        <v>1607929.9100095737</v>
      </c>
      <c r="G44" s="484">
        <f t="shared" si="26"/>
        <v>306278.24957932055</v>
      </c>
      <c r="H44" s="453">
        <f t="shared" si="27"/>
        <v>306278.24957932055</v>
      </c>
      <c r="I44" s="473">
        <f t="shared" si="0"/>
        <v>0</v>
      </c>
      <c r="J44" s="473"/>
      <c r="K44" s="485"/>
      <c r="L44" s="476">
        <f t="shared" si="1"/>
        <v>0</v>
      </c>
      <c r="M44" s="485"/>
      <c r="N44" s="476">
        <f t="shared" si="2"/>
        <v>0</v>
      </c>
      <c r="O44" s="476">
        <f t="shared" si="3"/>
        <v>0</v>
      </c>
      <c r="P44" s="241"/>
    </row>
    <row r="45" spans="2:16">
      <c r="B45" s="160" t="str">
        <f t="shared" si="6"/>
        <v/>
      </c>
      <c r="C45" s="470">
        <f>IF(D11="","-",+C44+1)</f>
        <v>2037</v>
      </c>
      <c r="D45" s="483">
        <f>IF(F44+SUM(E$17:E44)=D$10,F44,D$10-SUM(E$17:E44))</f>
        <v>1607929.9100095737</v>
      </c>
      <c r="E45" s="482">
        <f>IF(+I14&lt;F44,I14,D45)</f>
        <v>123392</v>
      </c>
      <c r="F45" s="483">
        <f t="shared" si="25"/>
        <v>1484537.9100095737</v>
      </c>
      <c r="G45" s="484">
        <f t="shared" si="26"/>
        <v>292243.62035349995</v>
      </c>
      <c r="H45" s="453">
        <f t="shared" si="27"/>
        <v>292243.62035349995</v>
      </c>
      <c r="I45" s="473">
        <f t="shared" si="0"/>
        <v>0</v>
      </c>
      <c r="J45" s="473"/>
      <c r="K45" s="485"/>
      <c r="L45" s="476">
        <f t="shared" si="1"/>
        <v>0</v>
      </c>
      <c r="M45" s="485"/>
      <c r="N45" s="476">
        <f t="shared" si="2"/>
        <v>0</v>
      </c>
      <c r="O45" s="476">
        <f t="shared" si="3"/>
        <v>0</v>
      </c>
      <c r="P45" s="241"/>
    </row>
    <row r="46" spans="2:16">
      <c r="B46" s="160" t="str">
        <f t="shared" si="6"/>
        <v/>
      </c>
      <c r="C46" s="470">
        <f>IF(D11="","-",+C45+1)</f>
        <v>2038</v>
      </c>
      <c r="D46" s="483">
        <f>IF(F45+SUM(E$17:E45)=D$10,F45,D$10-SUM(E$17:E45))</f>
        <v>1484537.9100095737</v>
      </c>
      <c r="E46" s="482">
        <f>IF(+I14&lt;F45,I14,D46)</f>
        <v>123392</v>
      </c>
      <c r="F46" s="483">
        <f t="shared" si="25"/>
        <v>1361145.9100095737</v>
      </c>
      <c r="G46" s="484">
        <f t="shared" si="26"/>
        <v>278208.9911276793</v>
      </c>
      <c r="H46" s="453">
        <f t="shared" si="27"/>
        <v>278208.9911276793</v>
      </c>
      <c r="I46" s="473">
        <f t="shared" si="0"/>
        <v>0</v>
      </c>
      <c r="J46" s="473"/>
      <c r="K46" s="485"/>
      <c r="L46" s="476">
        <f t="shared" si="1"/>
        <v>0</v>
      </c>
      <c r="M46" s="485"/>
      <c r="N46" s="476">
        <f t="shared" si="2"/>
        <v>0</v>
      </c>
      <c r="O46" s="476">
        <f t="shared" si="3"/>
        <v>0</v>
      </c>
      <c r="P46" s="241"/>
    </row>
    <row r="47" spans="2:16">
      <c r="B47" s="160" t="str">
        <f t="shared" si="6"/>
        <v/>
      </c>
      <c r="C47" s="470">
        <f>IF(D11="","-",+C46+1)</f>
        <v>2039</v>
      </c>
      <c r="D47" s="483">
        <f>IF(F46+SUM(E$17:E46)=D$10,F46,D$10-SUM(E$17:E46))</f>
        <v>1361145.9100095737</v>
      </c>
      <c r="E47" s="482">
        <f>IF(+I14&lt;F46,I14,D47)</f>
        <v>123392</v>
      </c>
      <c r="F47" s="483">
        <f t="shared" si="25"/>
        <v>1237753.9100095737</v>
      </c>
      <c r="G47" s="484">
        <f t="shared" si="26"/>
        <v>264174.36190185865</v>
      </c>
      <c r="H47" s="453">
        <f t="shared" si="27"/>
        <v>264174.36190185865</v>
      </c>
      <c r="I47" s="473">
        <f t="shared" si="0"/>
        <v>0</v>
      </c>
      <c r="J47" s="473"/>
      <c r="K47" s="485"/>
      <c r="L47" s="476">
        <f t="shared" si="1"/>
        <v>0</v>
      </c>
      <c r="M47" s="485"/>
      <c r="N47" s="476">
        <f t="shared" si="2"/>
        <v>0</v>
      </c>
      <c r="O47" s="476">
        <f t="shared" si="3"/>
        <v>0</v>
      </c>
      <c r="P47" s="241"/>
    </row>
    <row r="48" spans="2:16">
      <c r="B48" s="160" t="str">
        <f t="shared" si="6"/>
        <v/>
      </c>
      <c r="C48" s="470">
        <f>IF(D11="","-",+C47+1)</f>
        <v>2040</v>
      </c>
      <c r="D48" s="483">
        <f>IF(F47+SUM(E$17:E47)=D$10,F47,D$10-SUM(E$17:E47))</f>
        <v>1237753.9100095737</v>
      </c>
      <c r="E48" s="482">
        <f>IF(+I14&lt;F47,I14,D48)</f>
        <v>123392</v>
      </c>
      <c r="F48" s="483">
        <f t="shared" si="25"/>
        <v>1114361.9100095737</v>
      </c>
      <c r="G48" s="484">
        <f t="shared" si="26"/>
        <v>250139.73267603799</v>
      </c>
      <c r="H48" s="453">
        <f t="shared" si="27"/>
        <v>250139.73267603799</v>
      </c>
      <c r="I48" s="473">
        <f t="shared" si="0"/>
        <v>0</v>
      </c>
      <c r="J48" s="473"/>
      <c r="K48" s="485"/>
      <c r="L48" s="476">
        <f t="shared" si="1"/>
        <v>0</v>
      </c>
      <c r="M48" s="485"/>
      <c r="N48" s="476">
        <f t="shared" si="2"/>
        <v>0</v>
      </c>
      <c r="O48" s="476">
        <f t="shared" si="3"/>
        <v>0</v>
      </c>
      <c r="P48" s="241"/>
    </row>
    <row r="49" spans="2:16">
      <c r="B49" s="160" t="str">
        <f t="shared" si="6"/>
        <v/>
      </c>
      <c r="C49" s="470">
        <f>IF(D11="","-",+C48+1)</f>
        <v>2041</v>
      </c>
      <c r="D49" s="483">
        <f>IF(F48+SUM(E$17:E48)=D$10,F48,D$10-SUM(E$17:E48))</f>
        <v>1114361.9100095737</v>
      </c>
      <c r="E49" s="482">
        <f>IF(+I14&lt;F48,I14,D49)</f>
        <v>123392</v>
      </c>
      <c r="F49" s="483">
        <f t="shared" ref="F49:F72" si="28">+D49-E49</f>
        <v>990969.91000957368</v>
      </c>
      <c r="G49" s="484">
        <f t="shared" si="26"/>
        <v>236105.10345021734</v>
      </c>
      <c r="H49" s="453">
        <f t="shared" si="27"/>
        <v>236105.10345021734</v>
      </c>
      <c r="I49" s="473">
        <f t="shared" ref="I49:I72" si="29">H49-G49</f>
        <v>0</v>
      </c>
      <c r="J49" s="473"/>
      <c r="K49" s="485"/>
      <c r="L49" s="476">
        <f t="shared" ref="L49:L72" si="30">IF(K49&lt;&gt;0,+G49-K49,0)</f>
        <v>0</v>
      </c>
      <c r="M49" s="485"/>
      <c r="N49" s="476">
        <f t="shared" ref="N49:N72" si="31">IF(M49&lt;&gt;0,+H49-M49,0)</f>
        <v>0</v>
      </c>
      <c r="O49" s="476">
        <f t="shared" ref="O49:O72" si="32">+N49-L49</f>
        <v>0</v>
      </c>
      <c r="P49" s="241"/>
    </row>
    <row r="50" spans="2:16">
      <c r="B50" s="160" t="str">
        <f t="shared" si="6"/>
        <v/>
      </c>
      <c r="C50" s="470">
        <f>IF(D11="","-",+C49+1)</f>
        <v>2042</v>
      </c>
      <c r="D50" s="483">
        <f>IF(F49+SUM(E$17:E49)=D$10,F49,D$10-SUM(E$17:E49))</f>
        <v>990969.91000957368</v>
      </c>
      <c r="E50" s="482">
        <f>IF(+I14&lt;F49,I14,D50)</f>
        <v>123392</v>
      </c>
      <c r="F50" s="483">
        <f t="shared" si="28"/>
        <v>867577.91000957368</v>
      </c>
      <c r="G50" s="484">
        <f t="shared" si="26"/>
        <v>222070.47422439669</v>
      </c>
      <c r="H50" s="453">
        <f t="shared" si="27"/>
        <v>222070.47422439669</v>
      </c>
      <c r="I50" s="473">
        <f t="shared" si="29"/>
        <v>0</v>
      </c>
      <c r="J50" s="473"/>
      <c r="K50" s="485"/>
      <c r="L50" s="476">
        <f t="shared" si="30"/>
        <v>0</v>
      </c>
      <c r="M50" s="485"/>
      <c r="N50" s="476">
        <f t="shared" si="31"/>
        <v>0</v>
      </c>
      <c r="O50" s="476">
        <f t="shared" si="32"/>
        <v>0</v>
      </c>
      <c r="P50" s="241"/>
    </row>
    <row r="51" spans="2:16">
      <c r="B51" s="160" t="str">
        <f t="shared" si="6"/>
        <v/>
      </c>
      <c r="C51" s="470">
        <f>IF(D11="","-",+C50+1)</f>
        <v>2043</v>
      </c>
      <c r="D51" s="483">
        <f>IF(F50+SUM(E$17:E50)=D$10,F50,D$10-SUM(E$17:E50))</f>
        <v>867577.91000957368</v>
      </c>
      <c r="E51" s="482">
        <f>IF(+I14&lt;F50,I14,D51)</f>
        <v>123392</v>
      </c>
      <c r="F51" s="483">
        <f t="shared" si="28"/>
        <v>744185.91000957368</v>
      </c>
      <c r="G51" s="484">
        <f t="shared" si="26"/>
        <v>208035.84499857604</v>
      </c>
      <c r="H51" s="453">
        <f t="shared" si="27"/>
        <v>208035.84499857604</v>
      </c>
      <c r="I51" s="473">
        <f t="shared" si="29"/>
        <v>0</v>
      </c>
      <c r="J51" s="473"/>
      <c r="K51" s="485"/>
      <c r="L51" s="476">
        <f t="shared" si="30"/>
        <v>0</v>
      </c>
      <c r="M51" s="485"/>
      <c r="N51" s="476">
        <f t="shared" si="31"/>
        <v>0</v>
      </c>
      <c r="O51" s="476">
        <f t="shared" si="32"/>
        <v>0</v>
      </c>
      <c r="P51" s="241"/>
    </row>
    <row r="52" spans="2:16">
      <c r="B52" s="160" t="str">
        <f t="shared" si="6"/>
        <v/>
      </c>
      <c r="C52" s="470">
        <f>IF(D11="","-",+C51+1)</f>
        <v>2044</v>
      </c>
      <c r="D52" s="483">
        <f>IF(F51+SUM(E$17:E51)=D$10,F51,D$10-SUM(E$17:E51))</f>
        <v>744185.91000957368</v>
      </c>
      <c r="E52" s="482">
        <f>IF(+I14&lt;F51,I14,D52)</f>
        <v>123392</v>
      </c>
      <c r="F52" s="483">
        <f t="shared" si="28"/>
        <v>620793.91000957368</v>
      </c>
      <c r="G52" s="484">
        <f t="shared" si="26"/>
        <v>194001.21577275541</v>
      </c>
      <c r="H52" s="453">
        <f t="shared" si="27"/>
        <v>194001.21577275541</v>
      </c>
      <c r="I52" s="473">
        <f t="shared" si="29"/>
        <v>0</v>
      </c>
      <c r="J52" s="473"/>
      <c r="K52" s="485"/>
      <c r="L52" s="476">
        <f t="shared" si="30"/>
        <v>0</v>
      </c>
      <c r="M52" s="485"/>
      <c r="N52" s="476">
        <f t="shared" si="31"/>
        <v>0</v>
      </c>
      <c r="O52" s="476">
        <f t="shared" si="32"/>
        <v>0</v>
      </c>
      <c r="P52" s="241"/>
    </row>
    <row r="53" spans="2:16">
      <c r="B53" s="160" t="str">
        <f t="shared" si="6"/>
        <v/>
      </c>
      <c r="C53" s="470">
        <f>IF(D11="","-",+C52+1)</f>
        <v>2045</v>
      </c>
      <c r="D53" s="483">
        <f>IF(F52+SUM(E$17:E52)=D$10,F52,D$10-SUM(E$17:E52))</f>
        <v>620793.91000957368</v>
      </c>
      <c r="E53" s="482">
        <f>IF(+I14&lt;F52,I14,D53)</f>
        <v>123392</v>
      </c>
      <c r="F53" s="483">
        <f t="shared" si="28"/>
        <v>497401.91000957368</v>
      </c>
      <c r="G53" s="484">
        <f t="shared" si="26"/>
        <v>179966.58654693476</v>
      </c>
      <c r="H53" s="453">
        <f t="shared" si="27"/>
        <v>179966.58654693476</v>
      </c>
      <c r="I53" s="473">
        <f t="shared" si="29"/>
        <v>0</v>
      </c>
      <c r="J53" s="473"/>
      <c r="K53" s="485"/>
      <c r="L53" s="476">
        <f t="shared" si="30"/>
        <v>0</v>
      </c>
      <c r="M53" s="485"/>
      <c r="N53" s="476">
        <f t="shared" si="31"/>
        <v>0</v>
      </c>
      <c r="O53" s="476">
        <f t="shared" si="32"/>
        <v>0</v>
      </c>
      <c r="P53" s="241"/>
    </row>
    <row r="54" spans="2:16">
      <c r="B54" s="160" t="str">
        <f t="shared" si="6"/>
        <v/>
      </c>
      <c r="C54" s="470">
        <f>IF(D11="","-",+C53+1)</f>
        <v>2046</v>
      </c>
      <c r="D54" s="483">
        <f>IF(F53+SUM(E$17:E53)=D$10,F53,D$10-SUM(E$17:E53))</f>
        <v>497401.91000957368</v>
      </c>
      <c r="E54" s="482">
        <f>IF(+I14&lt;F53,I14,D54)</f>
        <v>123392</v>
      </c>
      <c r="F54" s="483">
        <f t="shared" si="28"/>
        <v>374009.91000957368</v>
      </c>
      <c r="G54" s="484">
        <f t="shared" si="26"/>
        <v>165931.95732111411</v>
      </c>
      <c r="H54" s="453">
        <f t="shared" si="27"/>
        <v>165931.95732111411</v>
      </c>
      <c r="I54" s="473">
        <f t="shared" si="29"/>
        <v>0</v>
      </c>
      <c r="J54" s="473"/>
      <c r="K54" s="485"/>
      <c r="L54" s="476">
        <f t="shared" si="30"/>
        <v>0</v>
      </c>
      <c r="M54" s="485"/>
      <c r="N54" s="476">
        <f t="shared" si="31"/>
        <v>0</v>
      </c>
      <c r="O54" s="476">
        <f t="shared" si="32"/>
        <v>0</v>
      </c>
      <c r="P54" s="241"/>
    </row>
    <row r="55" spans="2:16">
      <c r="B55" s="160" t="str">
        <f t="shared" si="6"/>
        <v/>
      </c>
      <c r="C55" s="470">
        <f>IF(D11="","-",+C54+1)</f>
        <v>2047</v>
      </c>
      <c r="D55" s="483">
        <f>IF(F54+SUM(E$17:E54)=D$10,F54,D$10-SUM(E$17:E54))</f>
        <v>374009.91000957368</v>
      </c>
      <c r="E55" s="482">
        <f>IF(+I14&lt;F54,I14,D55)</f>
        <v>123392</v>
      </c>
      <c r="F55" s="483">
        <f t="shared" si="28"/>
        <v>250617.91000957368</v>
      </c>
      <c r="G55" s="484">
        <f t="shared" si="26"/>
        <v>151897.32809529346</v>
      </c>
      <c r="H55" s="453">
        <f t="shared" si="27"/>
        <v>151897.32809529346</v>
      </c>
      <c r="I55" s="473">
        <f t="shared" si="29"/>
        <v>0</v>
      </c>
      <c r="J55" s="473"/>
      <c r="K55" s="485"/>
      <c r="L55" s="476">
        <f t="shared" si="30"/>
        <v>0</v>
      </c>
      <c r="M55" s="485"/>
      <c r="N55" s="476">
        <f t="shared" si="31"/>
        <v>0</v>
      </c>
      <c r="O55" s="476">
        <f t="shared" si="32"/>
        <v>0</v>
      </c>
      <c r="P55" s="241"/>
    </row>
    <row r="56" spans="2:16">
      <c r="B56" s="160" t="str">
        <f t="shared" si="6"/>
        <v/>
      </c>
      <c r="C56" s="470">
        <f>IF(D11="","-",+C55+1)</f>
        <v>2048</v>
      </c>
      <c r="D56" s="483">
        <f>IF(F55+SUM(E$17:E55)=D$10,F55,D$10-SUM(E$17:E55))</f>
        <v>250617.91000957368</v>
      </c>
      <c r="E56" s="482">
        <f>IF(+I14&lt;F55,I14,D56)</f>
        <v>123392</v>
      </c>
      <c r="F56" s="483">
        <f t="shared" si="28"/>
        <v>127225.91000957368</v>
      </c>
      <c r="G56" s="484">
        <f t="shared" si="26"/>
        <v>137862.69886947284</v>
      </c>
      <c r="H56" s="453">
        <f t="shared" si="27"/>
        <v>137862.69886947284</v>
      </c>
      <c r="I56" s="473">
        <f t="shared" si="29"/>
        <v>0</v>
      </c>
      <c r="J56" s="473"/>
      <c r="K56" s="485"/>
      <c r="L56" s="476">
        <f t="shared" si="30"/>
        <v>0</v>
      </c>
      <c r="M56" s="485"/>
      <c r="N56" s="476">
        <f t="shared" si="31"/>
        <v>0</v>
      </c>
      <c r="O56" s="476">
        <f t="shared" si="32"/>
        <v>0</v>
      </c>
      <c r="P56" s="241"/>
    </row>
    <row r="57" spans="2:16">
      <c r="B57" s="160" t="str">
        <f t="shared" si="6"/>
        <v/>
      </c>
      <c r="C57" s="470">
        <f>IF(D11="","-",+C56+1)</f>
        <v>2049</v>
      </c>
      <c r="D57" s="483">
        <f>IF(F56+SUM(E$17:E56)=D$10,F56,D$10-SUM(E$17:E56))</f>
        <v>127225.91000957368</v>
      </c>
      <c r="E57" s="482">
        <f>IF(+I14&lt;F56,I14,D57)</f>
        <v>123392</v>
      </c>
      <c r="F57" s="483">
        <f t="shared" si="28"/>
        <v>3833.9100095736794</v>
      </c>
      <c r="G57" s="484">
        <f t="shared" si="26"/>
        <v>123828.06964365217</v>
      </c>
      <c r="H57" s="453">
        <f t="shared" si="27"/>
        <v>123828.06964365217</v>
      </c>
      <c r="I57" s="473">
        <f t="shared" si="29"/>
        <v>0</v>
      </c>
      <c r="J57" s="473"/>
      <c r="K57" s="485"/>
      <c r="L57" s="476">
        <f t="shared" si="30"/>
        <v>0</v>
      </c>
      <c r="M57" s="485"/>
      <c r="N57" s="476">
        <f t="shared" si="31"/>
        <v>0</v>
      </c>
      <c r="O57" s="476">
        <f t="shared" si="32"/>
        <v>0</v>
      </c>
      <c r="P57" s="241"/>
    </row>
    <row r="58" spans="2:16">
      <c r="B58" s="160" t="str">
        <f t="shared" si="6"/>
        <v/>
      </c>
      <c r="C58" s="470">
        <f>IF(D11="","-",+C57+1)</f>
        <v>2050</v>
      </c>
      <c r="D58" s="483">
        <f>IF(F57+SUM(E$17:E57)=D$10,F57,D$10-SUM(E$17:E57))</f>
        <v>3833.9100095736794</v>
      </c>
      <c r="E58" s="482">
        <f>IF(+I14&lt;F57,I14,D58)</f>
        <v>3833.9100095736794</v>
      </c>
      <c r="F58" s="483">
        <f t="shared" si="28"/>
        <v>0</v>
      </c>
      <c r="G58" s="484">
        <f t="shared" si="26"/>
        <v>3833.9100095736794</v>
      </c>
      <c r="H58" s="453">
        <f t="shared" si="27"/>
        <v>3833.9100095736794</v>
      </c>
      <c r="I58" s="473">
        <f t="shared" si="29"/>
        <v>0</v>
      </c>
      <c r="J58" s="473"/>
      <c r="K58" s="485"/>
      <c r="L58" s="476">
        <f t="shared" si="30"/>
        <v>0</v>
      </c>
      <c r="M58" s="485"/>
      <c r="N58" s="476">
        <f t="shared" si="31"/>
        <v>0</v>
      </c>
      <c r="O58" s="476">
        <f t="shared" si="32"/>
        <v>0</v>
      </c>
      <c r="P58" s="241"/>
    </row>
    <row r="59" spans="2:16">
      <c r="B59" s="160" t="str">
        <f t="shared" si="6"/>
        <v/>
      </c>
      <c r="C59" s="470">
        <f>IF(D11="","-",+C58+1)</f>
        <v>2051</v>
      </c>
      <c r="D59" s="483">
        <f>IF(F58+SUM(E$17:E58)=D$10,F58,D$10-SUM(E$17:E58))</f>
        <v>0</v>
      </c>
      <c r="E59" s="482">
        <f>IF(+I14&lt;F58,I14,D59)</f>
        <v>0</v>
      </c>
      <c r="F59" s="483">
        <f t="shared" si="28"/>
        <v>0</v>
      </c>
      <c r="G59" s="484">
        <f t="shared" si="26"/>
        <v>0</v>
      </c>
      <c r="H59" s="453">
        <f t="shared" si="27"/>
        <v>0</v>
      </c>
      <c r="I59" s="473">
        <f t="shared" si="29"/>
        <v>0</v>
      </c>
      <c r="J59" s="473"/>
      <c r="K59" s="485"/>
      <c r="L59" s="476">
        <f t="shared" si="30"/>
        <v>0</v>
      </c>
      <c r="M59" s="485"/>
      <c r="N59" s="476">
        <f t="shared" si="31"/>
        <v>0</v>
      </c>
      <c r="O59" s="476">
        <f t="shared" si="32"/>
        <v>0</v>
      </c>
      <c r="P59" s="241"/>
    </row>
    <row r="60" spans="2:16">
      <c r="B60" s="160" t="str">
        <f t="shared" si="6"/>
        <v/>
      </c>
      <c r="C60" s="470">
        <f>IF(D11="","-",+C59+1)</f>
        <v>2052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8"/>
        <v>0</v>
      </c>
      <c r="G60" s="484">
        <f t="shared" si="26"/>
        <v>0</v>
      </c>
      <c r="H60" s="453">
        <f t="shared" si="27"/>
        <v>0</v>
      </c>
      <c r="I60" s="473">
        <f t="shared" si="29"/>
        <v>0</v>
      </c>
      <c r="J60" s="473"/>
      <c r="K60" s="485"/>
      <c r="L60" s="476">
        <f t="shared" si="30"/>
        <v>0</v>
      </c>
      <c r="M60" s="485"/>
      <c r="N60" s="476">
        <f t="shared" si="31"/>
        <v>0</v>
      </c>
      <c r="O60" s="476">
        <f t="shared" si="32"/>
        <v>0</v>
      </c>
      <c r="P60" s="241"/>
    </row>
    <row r="61" spans="2:16">
      <c r="B61" s="160" t="str">
        <f t="shared" si="6"/>
        <v/>
      </c>
      <c r="C61" s="470">
        <f>IF(D11="","-",+C60+1)</f>
        <v>2053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8"/>
        <v>0</v>
      </c>
      <c r="G61" s="486">
        <f t="shared" si="26"/>
        <v>0</v>
      </c>
      <c r="H61" s="453">
        <f t="shared" si="27"/>
        <v>0</v>
      </c>
      <c r="I61" s="473">
        <f t="shared" si="29"/>
        <v>0</v>
      </c>
      <c r="J61" s="473"/>
      <c r="K61" s="485"/>
      <c r="L61" s="476">
        <f t="shared" si="30"/>
        <v>0</v>
      </c>
      <c r="M61" s="485"/>
      <c r="N61" s="476">
        <f t="shared" si="31"/>
        <v>0</v>
      </c>
      <c r="O61" s="476">
        <f t="shared" si="32"/>
        <v>0</v>
      </c>
      <c r="P61" s="241"/>
    </row>
    <row r="62" spans="2:16">
      <c r="B62" s="160" t="str">
        <f t="shared" si="6"/>
        <v/>
      </c>
      <c r="C62" s="470">
        <f>IF(D11="","-",+C61+1)</f>
        <v>2054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8"/>
        <v>0</v>
      </c>
      <c r="G62" s="486">
        <f t="shared" si="26"/>
        <v>0</v>
      </c>
      <c r="H62" s="453">
        <f t="shared" si="27"/>
        <v>0</v>
      </c>
      <c r="I62" s="473">
        <f t="shared" si="29"/>
        <v>0</v>
      </c>
      <c r="J62" s="473"/>
      <c r="K62" s="485"/>
      <c r="L62" s="476">
        <f t="shared" si="30"/>
        <v>0</v>
      </c>
      <c r="M62" s="485"/>
      <c r="N62" s="476">
        <f t="shared" si="31"/>
        <v>0</v>
      </c>
      <c r="O62" s="476">
        <f t="shared" si="32"/>
        <v>0</v>
      </c>
      <c r="P62" s="241"/>
    </row>
    <row r="63" spans="2:16">
      <c r="B63" s="160" t="str">
        <f t="shared" si="6"/>
        <v/>
      </c>
      <c r="C63" s="470">
        <f>IF(D11="","-",+C62+1)</f>
        <v>2055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8"/>
        <v>0</v>
      </c>
      <c r="G63" s="486">
        <f t="shared" si="26"/>
        <v>0</v>
      </c>
      <c r="H63" s="453">
        <f t="shared" si="27"/>
        <v>0</v>
      </c>
      <c r="I63" s="473">
        <f t="shared" si="29"/>
        <v>0</v>
      </c>
      <c r="J63" s="473"/>
      <c r="K63" s="485"/>
      <c r="L63" s="476">
        <f t="shared" si="30"/>
        <v>0</v>
      </c>
      <c r="M63" s="485"/>
      <c r="N63" s="476">
        <f t="shared" si="31"/>
        <v>0</v>
      </c>
      <c r="O63" s="476">
        <f t="shared" si="32"/>
        <v>0</v>
      </c>
      <c r="P63" s="241"/>
    </row>
    <row r="64" spans="2:16">
      <c r="B64" s="160" t="str">
        <f t="shared" si="6"/>
        <v/>
      </c>
      <c r="C64" s="470">
        <f>IF(D11="","-",+C63+1)</f>
        <v>2056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8"/>
        <v>0</v>
      </c>
      <c r="G64" s="486">
        <f t="shared" si="26"/>
        <v>0</v>
      </c>
      <c r="H64" s="453">
        <f t="shared" si="27"/>
        <v>0</v>
      </c>
      <c r="I64" s="473">
        <f t="shared" si="29"/>
        <v>0</v>
      </c>
      <c r="J64" s="473"/>
      <c r="K64" s="485"/>
      <c r="L64" s="476">
        <f t="shared" si="30"/>
        <v>0</v>
      </c>
      <c r="M64" s="485"/>
      <c r="N64" s="476">
        <f t="shared" si="31"/>
        <v>0</v>
      </c>
      <c r="O64" s="476">
        <f t="shared" si="32"/>
        <v>0</v>
      </c>
      <c r="P64" s="241"/>
    </row>
    <row r="65" spans="2:16">
      <c r="B65" s="160" t="str">
        <f t="shared" si="6"/>
        <v/>
      </c>
      <c r="C65" s="470">
        <f>IF(D11="","-",+C64+1)</f>
        <v>2057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8"/>
        <v>0</v>
      </c>
      <c r="G65" s="486">
        <f t="shared" si="26"/>
        <v>0</v>
      </c>
      <c r="H65" s="453">
        <f t="shared" si="27"/>
        <v>0</v>
      </c>
      <c r="I65" s="473">
        <f t="shared" si="29"/>
        <v>0</v>
      </c>
      <c r="J65" s="473"/>
      <c r="K65" s="485"/>
      <c r="L65" s="476">
        <f t="shared" si="30"/>
        <v>0</v>
      </c>
      <c r="M65" s="485"/>
      <c r="N65" s="476">
        <f t="shared" si="31"/>
        <v>0</v>
      </c>
      <c r="O65" s="476">
        <f t="shared" si="32"/>
        <v>0</v>
      </c>
      <c r="P65" s="241"/>
    </row>
    <row r="66" spans="2:16">
      <c r="B66" s="160" t="str">
        <f t="shared" si="6"/>
        <v/>
      </c>
      <c r="C66" s="470">
        <f>IF(D11="","-",+C65+1)</f>
        <v>2058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8"/>
        <v>0</v>
      </c>
      <c r="G66" s="486">
        <f t="shared" si="26"/>
        <v>0</v>
      </c>
      <c r="H66" s="453">
        <f t="shared" si="27"/>
        <v>0</v>
      </c>
      <c r="I66" s="473">
        <f t="shared" si="29"/>
        <v>0</v>
      </c>
      <c r="J66" s="473"/>
      <c r="K66" s="485"/>
      <c r="L66" s="476">
        <f t="shared" si="30"/>
        <v>0</v>
      </c>
      <c r="M66" s="485"/>
      <c r="N66" s="476">
        <f t="shared" si="31"/>
        <v>0</v>
      </c>
      <c r="O66" s="476">
        <f t="shared" si="32"/>
        <v>0</v>
      </c>
      <c r="P66" s="241"/>
    </row>
    <row r="67" spans="2:16">
      <c r="B67" s="160" t="str">
        <f t="shared" si="6"/>
        <v/>
      </c>
      <c r="C67" s="470">
        <f>IF(D11="","-",+C66+1)</f>
        <v>2059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8"/>
        <v>0</v>
      </c>
      <c r="G67" s="486">
        <f t="shared" si="26"/>
        <v>0</v>
      </c>
      <c r="H67" s="453">
        <f t="shared" si="27"/>
        <v>0</v>
      </c>
      <c r="I67" s="473">
        <f t="shared" si="29"/>
        <v>0</v>
      </c>
      <c r="J67" s="473"/>
      <c r="K67" s="485"/>
      <c r="L67" s="476">
        <f t="shared" si="30"/>
        <v>0</v>
      </c>
      <c r="M67" s="485"/>
      <c r="N67" s="476">
        <f t="shared" si="31"/>
        <v>0</v>
      </c>
      <c r="O67" s="476">
        <f t="shared" si="32"/>
        <v>0</v>
      </c>
      <c r="P67" s="241"/>
    </row>
    <row r="68" spans="2:16">
      <c r="B68" s="160" t="str">
        <f t="shared" si="6"/>
        <v/>
      </c>
      <c r="C68" s="470">
        <f>IF(D11="","-",+C67+1)</f>
        <v>2060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8"/>
        <v>0</v>
      </c>
      <c r="G68" s="486">
        <f t="shared" si="26"/>
        <v>0</v>
      </c>
      <c r="H68" s="453">
        <f t="shared" si="27"/>
        <v>0</v>
      </c>
      <c r="I68" s="473">
        <f t="shared" si="29"/>
        <v>0</v>
      </c>
      <c r="J68" s="473"/>
      <c r="K68" s="485"/>
      <c r="L68" s="476">
        <f t="shared" si="30"/>
        <v>0</v>
      </c>
      <c r="M68" s="485"/>
      <c r="N68" s="476">
        <f t="shared" si="31"/>
        <v>0</v>
      </c>
      <c r="O68" s="476">
        <f t="shared" si="32"/>
        <v>0</v>
      </c>
      <c r="P68" s="241"/>
    </row>
    <row r="69" spans="2:16">
      <c r="B69" s="160" t="str">
        <f t="shared" si="6"/>
        <v/>
      </c>
      <c r="C69" s="470">
        <f>IF(D11="","-",+C68+1)</f>
        <v>2061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8"/>
        <v>0</v>
      </c>
      <c r="G69" s="486">
        <f t="shared" si="26"/>
        <v>0</v>
      </c>
      <c r="H69" s="453">
        <f t="shared" si="27"/>
        <v>0</v>
      </c>
      <c r="I69" s="473">
        <f t="shared" si="29"/>
        <v>0</v>
      </c>
      <c r="J69" s="473"/>
      <c r="K69" s="485"/>
      <c r="L69" s="476">
        <f t="shared" si="30"/>
        <v>0</v>
      </c>
      <c r="M69" s="485"/>
      <c r="N69" s="476">
        <f t="shared" si="31"/>
        <v>0</v>
      </c>
      <c r="O69" s="476">
        <f t="shared" si="32"/>
        <v>0</v>
      </c>
      <c r="P69" s="241"/>
    </row>
    <row r="70" spans="2:16">
      <c r="B70" s="160" t="str">
        <f t="shared" si="6"/>
        <v/>
      </c>
      <c r="C70" s="470">
        <f>IF(D11="","-",+C69+1)</f>
        <v>2062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8"/>
        <v>0</v>
      </c>
      <c r="G70" s="486">
        <f t="shared" si="26"/>
        <v>0</v>
      </c>
      <c r="H70" s="453">
        <f t="shared" si="27"/>
        <v>0</v>
      </c>
      <c r="I70" s="473">
        <f t="shared" si="29"/>
        <v>0</v>
      </c>
      <c r="J70" s="473"/>
      <c r="K70" s="485"/>
      <c r="L70" s="476">
        <f t="shared" si="30"/>
        <v>0</v>
      </c>
      <c r="M70" s="485"/>
      <c r="N70" s="476">
        <f t="shared" si="31"/>
        <v>0</v>
      </c>
      <c r="O70" s="476">
        <f t="shared" si="32"/>
        <v>0</v>
      </c>
      <c r="P70" s="241"/>
    </row>
    <row r="71" spans="2:16">
      <c r="B71" s="160" t="str">
        <f t="shared" si="6"/>
        <v/>
      </c>
      <c r="C71" s="470">
        <f>IF(D11="","-",+C70+1)</f>
        <v>2063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8"/>
        <v>0</v>
      </c>
      <c r="G71" s="486">
        <f t="shared" si="26"/>
        <v>0</v>
      </c>
      <c r="H71" s="453">
        <f t="shared" si="27"/>
        <v>0</v>
      </c>
      <c r="I71" s="473">
        <f t="shared" si="29"/>
        <v>0</v>
      </c>
      <c r="J71" s="473"/>
      <c r="K71" s="485"/>
      <c r="L71" s="476">
        <f t="shared" si="30"/>
        <v>0</v>
      </c>
      <c r="M71" s="485"/>
      <c r="N71" s="476">
        <f t="shared" si="31"/>
        <v>0</v>
      </c>
      <c r="O71" s="476">
        <f t="shared" si="32"/>
        <v>0</v>
      </c>
      <c r="P71" s="241"/>
    </row>
    <row r="72" spans="2:16" ht="13.5" thickBot="1">
      <c r="B72" s="160" t="str">
        <f t="shared" si="6"/>
        <v/>
      </c>
      <c r="C72" s="487">
        <f>IF(D11="","-",+C71+1)</f>
        <v>2064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8"/>
        <v>0</v>
      </c>
      <c r="G72" s="490">
        <f t="shared" si="26"/>
        <v>0</v>
      </c>
      <c r="H72" s="433">
        <f t="shared" si="27"/>
        <v>0</v>
      </c>
      <c r="I72" s="491">
        <f t="shared" si="29"/>
        <v>0</v>
      </c>
      <c r="J72" s="473"/>
      <c r="K72" s="492"/>
      <c r="L72" s="493">
        <f t="shared" si="30"/>
        <v>0</v>
      </c>
      <c r="M72" s="492"/>
      <c r="N72" s="493">
        <f t="shared" si="31"/>
        <v>0</v>
      </c>
      <c r="O72" s="493">
        <f t="shared" si="32"/>
        <v>0</v>
      </c>
      <c r="P72" s="241"/>
    </row>
    <row r="73" spans="2:16">
      <c r="C73" s="345" t="s">
        <v>77</v>
      </c>
      <c r="D73" s="346"/>
      <c r="E73" s="346">
        <f>SUM(E17:E72)</f>
        <v>4688896</v>
      </c>
      <c r="F73" s="346"/>
      <c r="G73" s="346">
        <f>SUM(G17:G72)</f>
        <v>17039729.169101462</v>
      </c>
      <c r="H73" s="346">
        <f>SUM(H17:H72)</f>
        <v>17039729.169101462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95" t="str">
        <f ca="1">P1</f>
        <v>PSO Project 2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470894.83739416272</v>
      </c>
      <c r="N87" s="506">
        <f>IF(J92&lt;D11,0,VLOOKUP(J92,C17:O72,11))</f>
        <v>470894.83739416272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493315.82816244458</v>
      </c>
      <c r="N88" s="510">
        <f>IF(J92&lt;D11,0,VLOOKUP(J92,C99:P154,7))</f>
        <v>493315.82816244458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Craig Jct. to Broken Bow Dam 138 Rebuild (7.7mi)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22420.990768281859</v>
      </c>
      <c r="N89" s="515">
        <f>+N88-N87</f>
        <v>22420.990768281859</v>
      </c>
      <c r="O89" s="516">
        <f>+O88-O87</f>
        <v>0</v>
      </c>
      <c r="P89" s="231"/>
    </row>
    <row r="90" spans="1:16" ht="13.5" thickBot="1">
      <c r="C90" s="494"/>
      <c r="D90" s="517">
        <f>D8</f>
        <v>0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TP2007059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445">
        <v>4688896.139999995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f>IF(D11=I10,"",D11)</f>
        <v>2009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f>IF(D11=I10,"",D12)</f>
        <v>5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114363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59" t="s">
        <v>211</v>
      </c>
      <c r="M97" s="461" t="s">
        <v>99</v>
      </c>
      <c r="N97" s="459" t="s">
        <v>211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2009</v>
      </c>
      <c r="D99" s="471">
        <v>0</v>
      </c>
      <c r="E99" s="478">
        <v>49223</v>
      </c>
      <c r="F99" s="477">
        <v>4676168</v>
      </c>
      <c r="G99" s="535">
        <v>2338084</v>
      </c>
      <c r="H99" s="536">
        <v>391070</v>
      </c>
      <c r="I99" s="537">
        <v>391070</v>
      </c>
      <c r="J99" s="476">
        <f t="shared" ref="J99:J130" si="33">+I99-H99</f>
        <v>0</v>
      </c>
      <c r="K99" s="476"/>
      <c r="L99" s="474">
        <f t="shared" ref="L99:L104" si="34">H99</f>
        <v>391070</v>
      </c>
      <c r="M99" s="475">
        <f t="shared" ref="M99:M130" si="35">IF(L99&lt;&gt;0,+H99-L99,0)</f>
        <v>0</v>
      </c>
      <c r="N99" s="474">
        <f t="shared" ref="N99:N104" si="36">I99</f>
        <v>391070</v>
      </c>
      <c r="O99" s="475">
        <f t="shared" ref="O99:O130" si="37">IF(N99&lt;&gt;0,+I99-N99,0)</f>
        <v>0</v>
      </c>
      <c r="P99" s="475">
        <f t="shared" ref="P99:P130" si="38">+O99-M99</f>
        <v>0</v>
      </c>
    </row>
    <row r="100" spans="1:16">
      <c r="B100" s="160" t="str">
        <f>IF(D100=F99,"","IU")</f>
        <v>IU</v>
      </c>
      <c r="C100" s="470">
        <f>IF(D93="","-",+C99+1)</f>
        <v>2010</v>
      </c>
      <c r="D100" s="471">
        <v>4639673.1399999997</v>
      </c>
      <c r="E100" s="478">
        <v>91939</v>
      </c>
      <c r="F100" s="477">
        <v>4547734.1399999997</v>
      </c>
      <c r="G100" s="477">
        <v>4593703.6399999997</v>
      </c>
      <c r="H100" s="478">
        <v>830676.46951907186</v>
      </c>
      <c r="I100" s="479">
        <v>830676.46951907186</v>
      </c>
      <c r="J100" s="476">
        <f t="shared" si="33"/>
        <v>0</v>
      </c>
      <c r="K100" s="476"/>
      <c r="L100" s="538">
        <f t="shared" si="34"/>
        <v>830676.46951907186</v>
      </c>
      <c r="M100" s="539">
        <f t="shared" si="35"/>
        <v>0</v>
      </c>
      <c r="N100" s="538">
        <f t="shared" si="36"/>
        <v>830676.46951907186</v>
      </c>
      <c r="O100" s="476">
        <f t="shared" si="37"/>
        <v>0</v>
      </c>
      <c r="P100" s="476">
        <f t="shared" si="38"/>
        <v>0</v>
      </c>
    </row>
    <row r="101" spans="1:16">
      <c r="B101" s="160" t="str">
        <f t="shared" ref="B101:B154" si="39">IF(D101=F100,"","IU")</f>
        <v/>
      </c>
      <c r="C101" s="480">
        <f>IF(D93="","-",+C100+1)</f>
        <v>2011</v>
      </c>
      <c r="D101" s="471">
        <v>4547734.1399999997</v>
      </c>
      <c r="E101" s="478">
        <v>90171</v>
      </c>
      <c r="F101" s="477">
        <v>4457563.1399999997</v>
      </c>
      <c r="G101" s="477">
        <v>4502648.6399999997</v>
      </c>
      <c r="H101" s="478">
        <v>719701.78616364778</v>
      </c>
      <c r="I101" s="479">
        <v>719701.78616364778</v>
      </c>
      <c r="J101" s="476">
        <f t="shared" si="33"/>
        <v>0</v>
      </c>
      <c r="K101" s="476"/>
      <c r="L101" s="538">
        <f t="shared" si="34"/>
        <v>719701.78616364778</v>
      </c>
      <c r="M101" s="539">
        <f t="shared" si="35"/>
        <v>0</v>
      </c>
      <c r="N101" s="538">
        <f t="shared" si="36"/>
        <v>719701.78616364778</v>
      </c>
      <c r="O101" s="476">
        <f t="shared" si="37"/>
        <v>0</v>
      </c>
      <c r="P101" s="476">
        <f t="shared" si="38"/>
        <v>0</v>
      </c>
    </row>
    <row r="102" spans="1:16">
      <c r="B102" s="160" t="str">
        <f t="shared" si="39"/>
        <v/>
      </c>
      <c r="C102" s="470">
        <f>IF(D93="","-",+C101+1)</f>
        <v>2012</v>
      </c>
      <c r="D102" s="471">
        <v>4457563.1399999997</v>
      </c>
      <c r="E102" s="478">
        <v>90171</v>
      </c>
      <c r="F102" s="477">
        <v>4367392.1399999997</v>
      </c>
      <c r="G102" s="477">
        <v>4412477.6399999997</v>
      </c>
      <c r="H102" s="478">
        <v>724930.09682284109</v>
      </c>
      <c r="I102" s="479">
        <v>724930.09682284109</v>
      </c>
      <c r="J102" s="476">
        <v>0</v>
      </c>
      <c r="K102" s="476"/>
      <c r="L102" s="538">
        <f t="shared" si="34"/>
        <v>724930.09682284109</v>
      </c>
      <c r="M102" s="539">
        <f t="shared" ref="M102:M107" si="40">IF(L102&lt;&gt;0,+H102-L102,0)</f>
        <v>0</v>
      </c>
      <c r="N102" s="538">
        <f t="shared" si="36"/>
        <v>724930.09682284109</v>
      </c>
      <c r="O102" s="476">
        <f>IF(N102&lt;&gt;0,+I102-N102,0)</f>
        <v>0</v>
      </c>
      <c r="P102" s="476">
        <f>+O102-M102</f>
        <v>0</v>
      </c>
    </row>
    <row r="103" spans="1:16">
      <c r="B103" s="160" t="str">
        <f t="shared" si="39"/>
        <v/>
      </c>
      <c r="C103" s="470">
        <f>IF(D93="","-",+C102+1)</f>
        <v>2013</v>
      </c>
      <c r="D103" s="471">
        <v>4367392.1399999997</v>
      </c>
      <c r="E103" s="478">
        <v>90171</v>
      </c>
      <c r="F103" s="477">
        <v>4277221.1399999997</v>
      </c>
      <c r="G103" s="477">
        <v>4322306.6399999997</v>
      </c>
      <c r="H103" s="478">
        <v>712322.06264393788</v>
      </c>
      <c r="I103" s="479">
        <v>712322.06264393788</v>
      </c>
      <c r="J103" s="476">
        <v>0</v>
      </c>
      <c r="K103" s="476"/>
      <c r="L103" s="538">
        <f t="shared" si="34"/>
        <v>712322.06264393788</v>
      </c>
      <c r="M103" s="539">
        <f t="shared" si="40"/>
        <v>0</v>
      </c>
      <c r="N103" s="538">
        <f t="shared" si="36"/>
        <v>712322.06264393788</v>
      </c>
      <c r="O103" s="476">
        <f>IF(N103&lt;&gt;0,+I103-N103,0)</f>
        <v>0</v>
      </c>
      <c r="P103" s="476">
        <f>+O103-M103</f>
        <v>0</v>
      </c>
    </row>
    <row r="104" spans="1:16">
      <c r="B104" s="160" t="str">
        <f t="shared" si="39"/>
        <v/>
      </c>
      <c r="C104" s="470">
        <f>IF(D93="","-",+C103+1)</f>
        <v>2014</v>
      </c>
      <c r="D104" s="471">
        <v>4277221.1399999997</v>
      </c>
      <c r="E104" s="478">
        <v>90171</v>
      </c>
      <c r="F104" s="477">
        <v>4187050.1399999997</v>
      </c>
      <c r="G104" s="477">
        <v>4232135.6399999997</v>
      </c>
      <c r="H104" s="478">
        <v>685191.9710405051</v>
      </c>
      <c r="I104" s="479">
        <v>685191.9710405051</v>
      </c>
      <c r="J104" s="476">
        <v>0</v>
      </c>
      <c r="K104" s="476"/>
      <c r="L104" s="538">
        <f t="shared" si="34"/>
        <v>685191.9710405051</v>
      </c>
      <c r="M104" s="539">
        <f t="shared" si="40"/>
        <v>0</v>
      </c>
      <c r="N104" s="538">
        <f t="shared" si="36"/>
        <v>685191.9710405051</v>
      </c>
      <c r="O104" s="476">
        <f>IF(N104&lt;&gt;0,+I104-N104,0)</f>
        <v>0</v>
      </c>
      <c r="P104" s="476">
        <f>+O104-M104</f>
        <v>0</v>
      </c>
    </row>
    <row r="105" spans="1:16">
      <c r="B105" s="160" t="str">
        <f t="shared" si="39"/>
        <v/>
      </c>
      <c r="C105" s="470">
        <f>IF(D93="","-",+C104+1)</f>
        <v>2015</v>
      </c>
      <c r="D105" s="471">
        <v>4187050.1399999997</v>
      </c>
      <c r="E105" s="478">
        <v>90171</v>
      </c>
      <c r="F105" s="477">
        <v>4096879.1399999997</v>
      </c>
      <c r="G105" s="477">
        <v>4141964.6399999997</v>
      </c>
      <c r="H105" s="478">
        <v>655308.7720911433</v>
      </c>
      <c r="I105" s="479">
        <v>655308.7720911433</v>
      </c>
      <c r="J105" s="476">
        <f t="shared" si="33"/>
        <v>0</v>
      </c>
      <c r="K105" s="476"/>
      <c r="L105" s="538">
        <f t="shared" ref="L105:L110" si="41">H105</f>
        <v>655308.7720911433</v>
      </c>
      <c r="M105" s="539">
        <f t="shared" si="40"/>
        <v>0</v>
      </c>
      <c r="N105" s="538">
        <f t="shared" ref="N105:N110" si="42">I105</f>
        <v>655308.7720911433</v>
      </c>
      <c r="O105" s="476">
        <f t="shared" si="37"/>
        <v>0</v>
      </c>
      <c r="P105" s="476">
        <f t="shared" si="38"/>
        <v>0</v>
      </c>
    </row>
    <row r="106" spans="1:16">
      <c r="B106" s="160" t="str">
        <f t="shared" si="39"/>
        <v/>
      </c>
      <c r="C106" s="470">
        <f>IF(D93="","-",+C105+1)</f>
        <v>2016</v>
      </c>
      <c r="D106" s="471">
        <v>4096879.1399999997</v>
      </c>
      <c r="E106" s="478">
        <v>101933</v>
      </c>
      <c r="F106" s="477">
        <v>3994946.1399999997</v>
      </c>
      <c r="G106" s="477">
        <v>4045912.6399999997</v>
      </c>
      <c r="H106" s="478">
        <v>623514.8578657991</v>
      </c>
      <c r="I106" s="479">
        <v>623514.8578657991</v>
      </c>
      <c r="J106" s="476">
        <f t="shared" si="33"/>
        <v>0</v>
      </c>
      <c r="K106" s="476"/>
      <c r="L106" s="538">
        <f t="shared" si="41"/>
        <v>623514.8578657991</v>
      </c>
      <c r="M106" s="539">
        <f t="shared" si="40"/>
        <v>0</v>
      </c>
      <c r="N106" s="538">
        <f t="shared" si="42"/>
        <v>623514.8578657991</v>
      </c>
      <c r="O106" s="476">
        <f>IF(N106&lt;&gt;0,+I106-N106,0)</f>
        <v>0</v>
      </c>
      <c r="P106" s="476">
        <f>+O106-M106</f>
        <v>0</v>
      </c>
    </row>
    <row r="107" spans="1:16">
      <c r="B107" s="160" t="str">
        <f t="shared" si="39"/>
        <v/>
      </c>
      <c r="C107" s="470">
        <f>IF(D93="","-",+C106+1)</f>
        <v>2017</v>
      </c>
      <c r="D107" s="471">
        <v>3994946.1399999997</v>
      </c>
      <c r="E107" s="478">
        <v>101933</v>
      </c>
      <c r="F107" s="477">
        <v>3893013.1399999997</v>
      </c>
      <c r="G107" s="477">
        <v>3943979.6399999997</v>
      </c>
      <c r="H107" s="478">
        <v>602236.76208219538</v>
      </c>
      <c r="I107" s="479">
        <v>602236.76208219538</v>
      </c>
      <c r="J107" s="476">
        <f t="shared" si="33"/>
        <v>0</v>
      </c>
      <c r="K107" s="476"/>
      <c r="L107" s="538">
        <f t="shared" si="41"/>
        <v>602236.76208219538</v>
      </c>
      <c r="M107" s="539">
        <f t="shared" si="40"/>
        <v>0</v>
      </c>
      <c r="N107" s="538">
        <f t="shared" si="42"/>
        <v>602236.76208219538</v>
      </c>
      <c r="O107" s="476">
        <f>IF(N107&lt;&gt;0,+I107-N107,0)</f>
        <v>0</v>
      </c>
      <c r="P107" s="476">
        <f>+O107-M107</f>
        <v>0</v>
      </c>
    </row>
    <row r="108" spans="1:16">
      <c r="B108" s="160" t="str">
        <f t="shared" si="39"/>
        <v/>
      </c>
      <c r="C108" s="470">
        <f>IF(D93="","-",+C107+1)</f>
        <v>2018</v>
      </c>
      <c r="D108" s="471">
        <v>3893013.1399999997</v>
      </c>
      <c r="E108" s="478">
        <v>109044</v>
      </c>
      <c r="F108" s="477">
        <v>3783969.1399999997</v>
      </c>
      <c r="G108" s="477">
        <v>3838491.1399999997</v>
      </c>
      <c r="H108" s="478">
        <v>503393.56302800257</v>
      </c>
      <c r="I108" s="479">
        <v>503393.56302800257</v>
      </c>
      <c r="J108" s="476">
        <f t="shared" si="33"/>
        <v>0</v>
      </c>
      <c r="K108" s="476"/>
      <c r="L108" s="538">
        <f t="shared" si="41"/>
        <v>503393.56302800257</v>
      </c>
      <c r="M108" s="539">
        <f t="shared" ref="M108" si="43">IF(L108&lt;&gt;0,+H108-L108,0)</f>
        <v>0</v>
      </c>
      <c r="N108" s="538">
        <f t="shared" si="42"/>
        <v>503393.56302800257</v>
      </c>
      <c r="O108" s="476">
        <f>IF(N108&lt;&gt;0,+I108-N108,0)</f>
        <v>0</v>
      </c>
      <c r="P108" s="476">
        <f>+O108-M108</f>
        <v>0</v>
      </c>
    </row>
    <row r="109" spans="1:16">
      <c r="B109" s="160" t="str">
        <f t="shared" si="39"/>
        <v/>
      </c>
      <c r="C109" s="470">
        <f>IF(D93="","-",+C108+1)</f>
        <v>2019</v>
      </c>
      <c r="D109" s="471">
        <v>3783969.1399999997</v>
      </c>
      <c r="E109" s="478">
        <v>114363</v>
      </c>
      <c r="F109" s="477">
        <v>3669606.1399999997</v>
      </c>
      <c r="G109" s="477">
        <v>3726787.6399999997</v>
      </c>
      <c r="H109" s="478">
        <v>498647.07790793071</v>
      </c>
      <c r="I109" s="479">
        <v>498647.07790793071</v>
      </c>
      <c r="J109" s="476">
        <f t="shared" si="33"/>
        <v>0</v>
      </c>
      <c r="K109" s="476"/>
      <c r="L109" s="538">
        <f t="shared" si="41"/>
        <v>498647.07790793071</v>
      </c>
      <c r="M109" s="539">
        <f t="shared" ref="M109:M110" si="44">IF(L109&lt;&gt;0,+H109-L109,0)</f>
        <v>0</v>
      </c>
      <c r="N109" s="538">
        <f t="shared" si="42"/>
        <v>498647.07790793071</v>
      </c>
      <c r="O109" s="476">
        <f t="shared" si="37"/>
        <v>0</v>
      </c>
      <c r="P109" s="476">
        <f t="shared" si="38"/>
        <v>0</v>
      </c>
    </row>
    <row r="110" spans="1:16">
      <c r="B110" s="160" t="str">
        <f t="shared" si="39"/>
        <v/>
      </c>
      <c r="C110" s="470">
        <f>IF(D93="","-",+C109+1)</f>
        <v>2020</v>
      </c>
      <c r="D110" s="471">
        <v>3669606.1399999997</v>
      </c>
      <c r="E110" s="478">
        <v>109044</v>
      </c>
      <c r="F110" s="477">
        <v>3560562.1399999997</v>
      </c>
      <c r="G110" s="477">
        <v>3615084.1399999997</v>
      </c>
      <c r="H110" s="478">
        <v>525853.2624876654</v>
      </c>
      <c r="I110" s="479">
        <v>525853.2624876654</v>
      </c>
      <c r="J110" s="476">
        <f t="shared" si="33"/>
        <v>0</v>
      </c>
      <c r="K110" s="476"/>
      <c r="L110" s="538">
        <f t="shared" si="41"/>
        <v>525853.2624876654</v>
      </c>
      <c r="M110" s="539">
        <f t="shared" si="44"/>
        <v>0</v>
      </c>
      <c r="N110" s="538">
        <f t="shared" si="42"/>
        <v>525853.2624876654</v>
      </c>
      <c r="O110" s="476">
        <f t="shared" si="37"/>
        <v>0</v>
      </c>
      <c r="P110" s="476">
        <f t="shared" si="38"/>
        <v>0</v>
      </c>
    </row>
    <row r="111" spans="1:16">
      <c r="B111" s="160" t="str">
        <f t="shared" si="39"/>
        <v/>
      </c>
      <c r="C111" s="470">
        <f>IF(D93="","-",+C110+1)</f>
        <v>2021</v>
      </c>
      <c r="D111" s="471">
        <v>3560562.1399999997</v>
      </c>
      <c r="E111" s="478">
        <v>114363</v>
      </c>
      <c r="F111" s="477">
        <v>3446199.1399999997</v>
      </c>
      <c r="G111" s="477">
        <v>3503380.6399999997</v>
      </c>
      <c r="H111" s="478">
        <v>513022.46807795716</v>
      </c>
      <c r="I111" s="479">
        <v>513022.46807795716</v>
      </c>
      <c r="J111" s="476">
        <f t="shared" si="33"/>
        <v>0</v>
      </c>
      <c r="K111" s="476"/>
      <c r="L111" s="538">
        <f t="shared" ref="L111" si="45">H111</f>
        <v>513022.46807795716</v>
      </c>
      <c r="M111" s="539">
        <f t="shared" ref="M111" si="46">IF(L111&lt;&gt;0,+H111-L111,0)</f>
        <v>0</v>
      </c>
      <c r="N111" s="538">
        <f t="shared" ref="N111" si="47">I111</f>
        <v>513022.46807795716</v>
      </c>
      <c r="O111" s="476">
        <f t="shared" ref="O111" si="48">IF(N111&lt;&gt;0,+I111-N111,0)</f>
        <v>0</v>
      </c>
      <c r="P111" s="476">
        <f t="shared" ref="P111" si="49">+O111-M111</f>
        <v>0</v>
      </c>
    </row>
    <row r="112" spans="1:16">
      <c r="B112" s="160" t="str">
        <f t="shared" si="39"/>
        <v>IU</v>
      </c>
      <c r="C112" s="631">
        <f>IF(D93="","-",+C111+1)</f>
        <v>2022</v>
      </c>
      <c r="D112" s="345">
        <v>3446199</v>
      </c>
      <c r="E112" s="484">
        <v>120228</v>
      </c>
      <c r="F112" s="483">
        <v>3325971</v>
      </c>
      <c r="G112" s="483">
        <v>3386085</v>
      </c>
      <c r="H112" s="486">
        <v>493315.82816244458</v>
      </c>
      <c r="I112" s="540">
        <v>493315.82816244458</v>
      </c>
      <c r="J112" s="476">
        <f t="shared" si="33"/>
        <v>0</v>
      </c>
      <c r="K112" s="476"/>
      <c r="L112" s="485"/>
      <c r="M112" s="476">
        <f t="shared" si="35"/>
        <v>0</v>
      </c>
      <c r="N112" s="485"/>
      <c r="O112" s="476">
        <f t="shared" si="37"/>
        <v>0</v>
      </c>
      <c r="P112" s="476">
        <f t="shared" si="38"/>
        <v>0</v>
      </c>
    </row>
    <row r="113" spans="2:16">
      <c r="B113" s="160" t="str">
        <f t="shared" si="39"/>
        <v>IU</v>
      </c>
      <c r="C113" s="470">
        <f>IF(D93="","-",+C112+1)</f>
        <v>2023</v>
      </c>
      <c r="D113" s="345">
        <f>IF(F112+SUM(E$99:E112)=D$92,F112,D$92-SUM(E$99:E112))</f>
        <v>3325971.139999995</v>
      </c>
      <c r="E113" s="484">
        <f>IF(+J96&lt;F112,J96,D113)</f>
        <v>114363</v>
      </c>
      <c r="F113" s="483">
        <f t="shared" ref="F113:F130" si="50">+D113-E113</f>
        <v>3211608.139999995</v>
      </c>
      <c r="G113" s="483">
        <f t="shared" ref="G113:G130" si="51">+(F113+D113)/2</f>
        <v>3268789.639999995</v>
      </c>
      <c r="H113" s="486">
        <f t="shared" ref="H113:H154" si="52">+J$94*G113+E113</f>
        <v>486327.70296791254</v>
      </c>
      <c r="I113" s="540">
        <f t="shared" ref="I113:I154" si="53">+J$95*G113+E113</f>
        <v>486327.70296791254</v>
      </c>
      <c r="J113" s="476">
        <f t="shared" si="33"/>
        <v>0</v>
      </c>
      <c r="K113" s="476"/>
      <c r="L113" s="485"/>
      <c r="M113" s="476">
        <f t="shared" si="35"/>
        <v>0</v>
      </c>
      <c r="N113" s="485"/>
      <c r="O113" s="476">
        <f t="shared" si="37"/>
        <v>0</v>
      </c>
      <c r="P113" s="476">
        <f t="shared" si="38"/>
        <v>0</v>
      </c>
    </row>
    <row r="114" spans="2:16">
      <c r="B114" s="160" t="str">
        <f t="shared" si="39"/>
        <v/>
      </c>
      <c r="C114" s="470">
        <f>IF(D93="","-",+C113+1)</f>
        <v>2024</v>
      </c>
      <c r="D114" s="345">
        <f>IF(F113+SUM(E$99:E113)=D$92,F113,D$92-SUM(E$99:E113))</f>
        <v>3211608.139999995</v>
      </c>
      <c r="E114" s="484">
        <f>IF(+J96&lt;F113,J96,D114)</f>
        <v>114363</v>
      </c>
      <c r="F114" s="483">
        <f t="shared" si="50"/>
        <v>3097245.139999995</v>
      </c>
      <c r="G114" s="483">
        <f t="shared" si="51"/>
        <v>3154426.639999995</v>
      </c>
      <c r="H114" s="486">
        <f t="shared" si="52"/>
        <v>473314.01777845522</v>
      </c>
      <c r="I114" s="540">
        <f t="shared" si="53"/>
        <v>473314.01777845522</v>
      </c>
      <c r="J114" s="476">
        <f t="shared" si="33"/>
        <v>0</v>
      </c>
      <c r="K114" s="476"/>
      <c r="L114" s="485"/>
      <c r="M114" s="476">
        <f t="shared" si="35"/>
        <v>0</v>
      </c>
      <c r="N114" s="485"/>
      <c r="O114" s="476">
        <f t="shared" si="37"/>
        <v>0</v>
      </c>
      <c r="P114" s="476">
        <f t="shared" si="38"/>
        <v>0</v>
      </c>
    </row>
    <row r="115" spans="2:16">
      <c r="B115" s="160" t="str">
        <f t="shared" si="39"/>
        <v/>
      </c>
      <c r="C115" s="470">
        <f>IF(D93="","-",+C114+1)</f>
        <v>2025</v>
      </c>
      <c r="D115" s="345">
        <f>IF(F114+SUM(E$99:E114)=D$92,F114,D$92-SUM(E$99:E114))</f>
        <v>3097245.139999995</v>
      </c>
      <c r="E115" s="484">
        <f>IF(+J96&lt;F114,J96,D115)</f>
        <v>114363</v>
      </c>
      <c r="F115" s="483">
        <f t="shared" si="50"/>
        <v>2982882.139999995</v>
      </c>
      <c r="G115" s="483">
        <f t="shared" si="51"/>
        <v>3040063.639999995</v>
      </c>
      <c r="H115" s="486">
        <f t="shared" si="52"/>
        <v>460300.3325889979</v>
      </c>
      <c r="I115" s="540">
        <f t="shared" si="53"/>
        <v>460300.3325889979</v>
      </c>
      <c r="J115" s="476">
        <f t="shared" si="33"/>
        <v>0</v>
      </c>
      <c r="K115" s="476"/>
      <c r="L115" s="485"/>
      <c r="M115" s="476">
        <f t="shared" si="35"/>
        <v>0</v>
      </c>
      <c r="N115" s="485"/>
      <c r="O115" s="476">
        <f t="shared" si="37"/>
        <v>0</v>
      </c>
      <c r="P115" s="476">
        <f t="shared" si="38"/>
        <v>0</v>
      </c>
    </row>
    <row r="116" spans="2:16">
      <c r="B116" s="160" t="str">
        <f t="shared" si="39"/>
        <v/>
      </c>
      <c r="C116" s="470">
        <f>IF(D93="","-",+C115+1)</f>
        <v>2026</v>
      </c>
      <c r="D116" s="345">
        <f>IF(F115+SUM(E$99:E115)=D$92,F115,D$92-SUM(E$99:E115))</f>
        <v>2982882.139999995</v>
      </c>
      <c r="E116" s="484">
        <f>IF(+J96&lt;F115,J96,D116)</f>
        <v>114363</v>
      </c>
      <c r="F116" s="483">
        <f t="shared" si="50"/>
        <v>2868519.139999995</v>
      </c>
      <c r="G116" s="483">
        <f t="shared" si="51"/>
        <v>2925700.639999995</v>
      </c>
      <c r="H116" s="486">
        <f t="shared" si="52"/>
        <v>447286.64739954064</v>
      </c>
      <c r="I116" s="540">
        <f t="shared" si="53"/>
        <v>447286.64739954064</v>
      </c>
      <c r="J116" s="476">
        <f t="shared" si="33"/>
        <v>0</v>
      </c>
      <c r="K116" s="476"/>
      <c r="L116" s="485"/>
      <c r="M116" s="476">
        <f t="shared" si="35"/>
        <v>0</v>
      </c>
      <c r="N116" s="485"/>
      <c r="O116" s="476">
        <f t="shared" si="37"/>
        <v>0</v>
      </c>
      <c r="P116" s="476">
        <f t="shared" si="38"/>
        <v>0</v>
      </c>
    </row>
    <row r="117" spans="2:16">
      <c r="B117" s="160" t="str">
        <f t="shared" si="39"/>
        <v/>
      </c>
      <c r="C117" s="470">
        <f>IF(D93="","-",+C116+1)</f>
        <v>2027</v>
      </c>
      <c r="D117" s="345">
        <f>IF(F116+SUM(E$99:E116)=D$92,F116,D$92-SUM(E$99:E116))</f>
        <v>2868519.139999995</v>
      </c>
      <c r="E117" s="484">
        <f>IF(+J96&lt;F116,J96,D117)</f>
        <v>114363</v>
      </c>
      <c r="F117" s="483">
        <f t="shared" si="50"/>
        <v>2754156.139999995</v>
      </c>
      <c r="G117" s="483">
        <f t="shared" si="51"/>
        <v>2811337.639999995</v>
      </c>
      <c r="H117" s="486">
        <f t="shared" si="52"/>
        <v>434272.96221008332</v>
      </c>
      <c r="I117" s="540">
        <f t="shared" si="53"/>
        <v>434272.96221008332</v>
      </c>
      <c r="J117" s="476">
        <f t="shared" si="33"/>
        <v>0</v>
      </c>
      <c r="K117" s="476"/>
      <c r="L117" s="485"/>
      <c r="M117" s="476">
        <f t="shared" si="35"/>
        <v>0</v>
      </c>
      <c r="N117" s="485"/>
      <c r="O117" s="476">
        <f t="shared" si="37"/>
        <v>0</v>
      </c>
      <c r="P117" s="476">
        <f t="shared" si="38"/>
        <v>0</v>
      </c>
    </row>
    <row r="118" spans="2:16">
      <c r="B118" s="160" t="str">
        <f t="shared" si="39"/>
        <v/>
      </c>
      <c r="C118" s="470">
        <f>IF(D93="","-",+C117+1)</f>
        <v>2028</v>
      </c>
      <c r="D118" s="345">
        <f>IF(F117+SUM(E$99:E117)=D$92,F117,D$92-SUM(E$99:E117))</f>
        <v>2754156.139999995</v>
      </c>
      <c r="E118" s="484">
        <f>IF(+J96&lt;F117,J96,D118)</f>
        <v>114363</v>
      </c>
      <c r="F118" s="483">
        <f t="shared" si="50"/>
        <v>2639793.139999995</v>
      </c>
      <c r="G118" s="483">
        <f t="shared" si="51"/>
        <v>2696974.639999995</v>
      </c>
      <c r="H118" s="486">
        <f t="shared" si="52"/>
        <v>421259.27702062606</v>
      </c>
      <c r="I118" s="540">
        <f t="shared" si="53"/>
        <v>421259.27702062606</v>
      </c>
      <c r="J118" s="476">
        <f t="shared" si="33"/>
        <v>0</v>
      </c>
      <c r="K118" s="476"/>
      <c r="L118" s="485"/>
      <c r="M118" s="476">
        <f t="shared" si="35"/>
        <v>0</v>
      </c>
      <c r="N118" s="485"/>
      <c r="O118" s="476">
        <f t="shared" si="37"/>
        <v>0</v>
      </c>
      <c r="P118" s="476">
        <f t="shared" si="38"/>
        <v>0</v>
      </c>
    </row>
    <row r="119" spans="2:16">
      <c r="B119" s="160" t="str">
        <f t="shared" si="39"/>
        <v/>
      </c>
      <c r="C119" s="470">
        <f>IF(D93="","-",+C118+1)</f>
        <v>2029</v>
      </c>
      <c r="D119" s="345">
        <f>IF(F118+SUM(E$99:E118)=D$92,F118,D$92-SUM(E$99:E118))</f>
        <v>2639793.139999995</v>
      </c>
      <c r="E119" s="484">
        <f>IF(+J96&lt;F118,J96,D119)</f>
        <v>114363</v>
      </c>
      <c r="F119" s="483">
        <f t="shared" si="50"/>
        <v>2525430.139999995</v>
      </c>
      <c r="G119" s="483">
        <f t="shared" si="51"/>
        <v>2582611.639999995</v>
      </c>
      <c r="H119" s="486">
        <f t="shared" si="52"/>
        <v>408245.59183116874</v>
      </c>
      <c r="I119" s="540">
        <f t="shared" si="53"/>
        <v>408245.59183116874</v>
      </c>
      <c r="J119" s="476">
        <f t="shared" si="33"/>
        <v>0</v>
      </c>
      <c r="K119" s="476"/>
      <c r="L119" s="485"/>
      <c r="M119" s="476">
        <f t="shared" si="35"/>
        <v>0</v>
      </c>
      <c r="N119" s="485"/>
      <c r="O119" s="476">
        <f t="shared" si="37"/>
        <v>0</v>
      </c>
      <c r="P119" s="476">
        <f t="shared" si="38"/>
        <v>0</v>
      </c>
    </row>
    <row r="120" spans="2:16">
      <c r="B120" s="160" t="str">
        <f t="shared" si="39"/>
        <v/>
      </c>
      <c r="C120" s="470">
        <f>IF(D93="","-",+C119+1)</f>
        <v>2030</v>
      </c>
      <c r="D120" s="345">
        <f>IF(F119+SUM(E$99:E119)=D$92,F119,D$92-SUM(E$99:E119))</f>
        <v>2525430.139999995</v>
      </c>
      <c r="E120" s="484">
        <f>IF(+J96&lt;F119,J96,D120)</f>
        <v>114363</v>
      </c>
      <c r="F120" s="483">
        <f t="shared" si="50"/>
        <v>2411067.139999995</v>
      </c>
      <c r="G120" s="483">
        <f t="shared" si="51"/>
        <v>2468248.639999995</v>
      </c>
      <c r="H120" s="486">
        <f t="shared" si="52"/>
        <v>395231.90664171142</v>
      </c>
      <c r="I120" s="540">
        <f t="shared" si="53"/>
        <v>395231.90664171142</v>
      </c>
      <c r="J120" s="476">
        <f t="shared" si="33"/>
        <v>0</v>
      </c>
      <c r="K120" s="476"/>
      <c r="L120" s="485"/>
      <c r="M120" s="476">
        <f t="shared" si="35"/>
        <v>0</v>
      </c>
      <c r="N120" s="485"/>
      <c r="O120" s="476">
        <f t="shared" si="37"/>
        <v>0</v>
      </c>
      <c r="P120" s="476">
        <f t="shared" si="38"/>
        <v>0</v>
      </c>
    </row>
    <row r="121" spans="2:16">
      <c r="B121" s="160" t="str">
        <f t="shared" si="39"/>
        <v/>
      </c>
      <c r="C121" s="470">
        <f>IF(D93="","-",+C120+1)</f>
        <v>2031</v>
      </c>
      <c r="D121" s="345">
        <f>IF(F120+SUM(E$99:E120)=D$92,F120,D$92-SUM(E$99:E120))</f>
        <v>2411067.139999995</v>
      </c>
      <c r="E121" s="484">
        <f>IF(+J96&lt;F120,J96,D121)</f>
        <v>114363</v>
      </c>
      <c r="F121" s="483">
        <f t="shared" si="50"/>
        <v>2296704.139999995</v>
      </c>
      <c r="G121" s="483">
        <f t="shared" si="51"/>
        <v>2353885.639999995</v>
      </c>
      <c r="H121" s="486">
        <f t="shared" si="52"/>
        <v>382218.22145225416</v>
      </c>
      <c r="I121" s="540">
        <f t="shared" si="53"/>
        <v>382218.22145225416</v>
      </c>
      <c r="J121" s="476">
        <f t="shared" si="33"/>
        <v>0</v>
      </c>
      <c r="K121" s="476"/>
      <c r="L121" s="485"/>
      <c r="M121" s="476">
        <f t="shared" si="35"/>
        <v>0</v>
      </c>
      <c r="N121" s="485"/>
      <c r="O121" s="476">
        <f t="shared" si="37"/>
        <v>0</v>
      </c>
      <c r="P121" s="476">
        <f t="shared" si="38"/>
        <v>0</v>
      </c>
    </row>
    <row r="122" spans="2:16">
      <c r="B122" s="160" t="str">
        <f t="shared" si="39"/>
        <v/>
      </c>
      <c r="C122" s="470">
        <f>IF(D93="","-",+C121+1)</f>
        <v>2032</v>
      </c>
      <c r="D122" s="345">
        <f>IF(F121+SUM(E$99:E121)=D$92,F121,D$92-SUM(E$99:E121))</f>
        <v>2296704.139999995</v>
      </c>
      <c r="E122" s="484">
        <f>IF(+J96&lt;F121,J96,D122)</f>
        <v>114363</v>
      </c>
      <c r="F122" s="483">
        <f t="shared" si="50"/>
        <v>2182341.139999995</v>
      </c>
      <c r="G122" s="483">
        <f t="shared" si="51"/>
        <v>2239522.639999995</v>
      </c>
      <c r="H122" s="486">
        <f t="shared" si="52"/>
        <v>369204.53626279684</v>
      </c>
      <c r="I122" s="540">
        <f t="shared" si="53"/>
        <v>369204.53626279684</v>
      </c>
      <c r="J122" s="476">
        <f t="shared" si="33"/>
        <v>0</v>
      </c>
      <c r="K122" s="476"/>
      <c r="L122" s="485"/>
      <c r="M122" s="476">
        <f t="shared" si="35"/>
        <v>0</v>
      </c>
      <c r="N122" s="485"/>
      <c r="O122" s="476">
        <f t="shared" si="37"/>
        <v>0</v>
      </c>
      <c r="P122" s="476">
        <f t="shared" si="38"/>
        <v>0</v>
      </c>
    </row>
    <row r="123" spans="2:16">
      <c r="B123" s="160" t="str">
        <f t="shared" si="39"/>
        <v/>
      </c>
      <c r="C123" s="470">
        <f>IF(D93="","-",+C122+1)</f>
        <v>2033</v>
      </c>
      <c r="D123" s="345">
        <f>IF(F122+SUM(E$99:E122)=D$92,F122,D$92-SUM(E$99:E122))</f>
        <v>2182341.139999995</v>
      </c>
      <c r="E123" s="484">
        <f>IF(+J96&lt;F122,J96,D123)</f>
        <v>114363</v>
      </c>
      <c r="F123" s="483">
        <f t="shared" si="50"/>
        <v>2067978.139999995</v>
      </c>
      <c r="G123" s="483">
        <f t="shared" si="51"/>
        <v>2125159.639999995</v>
      </c>
      <c r="H123" s="486">
        <f t="shared" si="52"/>
        <v>356190.85107333958</v>
      </c>
      <c r="I123" s="540">
        <f t="shared" si="53"/>
        <v>356190.85107333958</v>
      </c>
      <c r="J123" s="476">
        <f t="shared" si="33"/>
        <v>0</v>
      </c>
      <c r="K123" s="476"/>
      <c r="L123" s="485"/>
      <c r="M123" s="476">
        <f t="shared" si="35"/>
        <v>0</v>
      </c>
      <c r="N123" s="485"/>
      <c r="O123" s="476">
        <f t="shared" si="37"/>
        <v>0</v>
      </c>
      <c r="P123" s="476">
        <f t="shared" si="38"/>
        <v>0</v>
      </c>
    </row>
    <row r="124" spans="2:16">
      <c r="B124" s="160" t="str">
        <f t="shared" si="39"/>
        <v/>
      </c>
      <c r="C124" s="470">
        <f>IF(D93="","-",+C123+1)</f>
        <v>2034</v>
      </c>
      <c r="D124" s="345">
        <f>IF(F123+SUM(E$99:E123)=D$92,F123,D$92-SUM(E$99:E123))</f>
        <v>2067978.139999995</v>
      </c>
      <c r="E124" s="484">
        <f>IF(+J96&lt;F123,J96,D124)</f>
        <v>114363</v>
      </c>
      <c r="F124" s="483">
        <f t="shared" si="50"/>
        <v>1953615.139999995</v>
      </c>
      <c r="G124" s="483">
        <f t="shared" si="51"/>
        <v>2010796.639999995</v>
      </c>
      <c r="H124" s="486">
        <f t="shared" si="52"/>
        <v>343177.16588388226</v>
      </c>
      <c r="I124" s="540">
        <f t="shared" si="53"/>
        <v>343177.16588388226</v>
      </c>
      <c r="J124" s="476">
        <f t="shared" si="33"/>
        <v>0</v>
      </c>
      <c r="K124" s="476"/>
      <c r="L124" s="485"/>
      <c r="M124" s="476">
        <f t="shared" si="35"/>
        <v>0</v>
      </c>
      <c r="N124" s="485"/>
      <c r="O124" s="476">
        <f t="shared" si="37"/>
        <v>0</v>
      </c>
      <c r="P124" s="476">
        <f t="shared" si="38"/>
        <v>0</v>
      </c>
    </row>
    <row r="125" spans="2:16">
      <c r="B125" s="160" t="str">
        <f t="shared" si="39"/>
        <v/>
      </c>
      <c r="C125" s="470">
        <f>IF(D93="","-",+C124+1)</f>
        <v>2035</v>
      </c>
      <c r="D125" s="345">
        <f>IF(F124+SUM(E$99:E124)=D$92,F124,D$92-SUM(E$99:E124))</f>
        <v>1953615.139999995</v>
      </c>
      <c r="E125" s="484">
        <f>IF(+J96&lt;F124,J96,D125)</f>
        <v>114363</v>
      </c>
      <c r="F125" s="483">
        <f t="shared" si="50"/>
        <v>1839252.139999995</v>
      </c>
      <c r="G125" s="483">
        <f t="shared" si="51"/>
        <v>1896433.639999995</v>
      </c>
      <c r="H125" s="486">
        <f t="shared" si="52"/>
        <v>330163.48069442494</v>
      </c>
      <c r="I125" s="540">
        <f t="shared" si="53"/>
        <v>330163.48069442494</v>
      </c>
      <c r="J125" s="476">
        <f t="shared" si="33"/>
        <v>0</v>
      </c>
      <c r="K125" s="476"/>
      <c r="L125" s="485"/>
      <c r="M125" s="476">
        <f t="shared" si="35"/>
        <v>0</v>
      </c>
      <c r="N125" s="485"/>
      <c r="O125" s="476">
        <f t="shared" si="37"/>
        <v>0</v>
      </c>
      <c r="P125" s="476">
        <f t="shared" si="38"/>
        <v>0</v>
      </c>
    </row>
    <row r="126" spans="2:16">
      <c r="B126" s="160" t="str">
        <f t="shared" si="39"/>
        <v/>
      </c>
      <c r="C126" s="470">
        <f>IF(D93="","-",+C125+1)</f>
        <v>2036</v>
      </c>
      <c r="D126" s="345">
        <f>IF(F125+SUM(E$99:E125)=D$92,F125,D$92-SUM(E$99:E125))</f>
        <v>1839252.139999995</v>
      </c>
      <c r="E126" s="484">
        <f>IF(+J96&lt;F125,J96,D126)</f>
        <v>114363</v>
      </c>
      <c r="F126" s="483">
        <f t="shared" si="50"/>
        <v>1724889.139999995</v>
      </c>
      <c r="G126" s="483">
        <f t="shared" si="51"/>
        <v>1782070.639999995</v>
      </c>
      <c r="H126" s="486">
        <f t="shared" si="52"/>
        <v>317149.79550496768</v>
      </c>
      <c r="I126" s="540">
        <f t="shared" si="53"/>
        <v>317149.79550496768</v>
      </c>
      <c r="J126" s="476">
        <f t="shared" si="33"/>
        <v>0</v>
      </c>
      <c r="K126" s="476"/>
      <c r="L126" s="485"/>
      <c r="M126" s="476">
        <f t="shared" si="35"/>
        <v>0</v>
      </c>
      <c r="N126" s="485"/>
      <c r="O126" s="476">
        <f t="shared" si="37"/>
        <v>0</v>
      </c>
      <c r="P126" s="476">
        <f t="shared" si="38"/>
        <v>0</v>
      </c>
    </row>
    <row r="127" spans="2:16">
      <c r="B127" s="160" t="str">
        <f t="shared" si="39"/>
        <v/>
      </c>
      <c r="C127" s="470">
        <f>IF(D93="","-",+C126+1)</f>
        <v>2037</v>
      </c>
      <c r="D127" s="345">
        <f>IF(F126+SUM(E$99:E126)=D$92,F126,D$92-SUM(E$99:E126))</f>
        <v>1724889.139999995</v>
      </c>
      <c r="E127" s="484">
        <f>IF(+J96&lt;F126,J96,D127)</f>
        <v>114363</v>
      </c>
      <c r="F127" s="483">
        <f t="shared" si="50"/>
        <v>1610526.139999995</v>
      </c>
      <c r="G127" s="483">
        <f t="shared" si="51"/>
        <v>1667707.639999995</v>
      </c>
      <c r="H127" s="486">
        <f t="shared" si="52"/>
        <v>304136.11031551042</v>
      </c>
      <c r="I127" s="540">
        <f t="shared" si="53"/>
        <v>304136.11031551042</v>
      </c>
      <c r="J127" s="476">
        <f t="shared" si="33"/>
        <v>0</v>
      </c>
      <c r="K127" s="476"/>
      <c r="L127" s="485"/>
      <c r="M127" s="476">
        <f t="shared" si="35"/>
        <v>0</v>
      </c>
      <c r="N127" s="485"/>
      <c r="O127" s="476">
        <f t="shared" si="37"/>
        <v>0</v>
      </c>
      <c r="P127" s="476">
        <f t="shared" si="38"/>
        <v>0</v>
      </c>
    </row>
    <row r="128" spans="2:16">
      <c r="B128" s="160" t="str">
        <f t="shared" si="39"/>
        <v/>
      </c>
      <c r="C128" s="470">
        <f>IF(D93="","-",+C127+1)</f>
        <v>2038</v>
      </c>
      <c r="D128" s="345">
        <f>IF(F127+SUM(E$99:E127)=D$92,F127,D$92-SUM(E$99:E127))</f>
        <v>1610526.139999995</v>
      </c>
      <c r="E128" s="484">
        <f>IF(+J96&lt;F127,J96,D128)</f>
        <v>114363</v>
      </c>
      <c r="F128" s="483">
        <f t="shared" si="50"/>
        <v>1496163.139999995</v>
      </c>
      <c r="G128" s="483">
        <f t="shared" si="51"/>
        <v>1553344.639999995</v>
      </c>
      <c r="H128" s="486">
        <f t="shared" si="52"/>
        <v>291122.4251260531</v>
      </c>
      <c r="I128" s="540">
        <f t="shared" si="53"/>
        <v>291122.4251260531</v>
      </c>
      <c r="J128" s="476">
        <f t="shared" si="33"/>
        <v>0</v>
      </c>
      <c r="K128" s="476"/>
      <c r="L128" s="485"/>
      <c r="M128" s="476">
        <f t="shared" si="35"/>
        <v>0</v>
      </c>
      <c r="N128" s="485"/>
      <c r="O128" s="476">
        <f t="shared" si="37"/>
        <v>0</v>
      </c>
      <c r="P128" s="476">
        <f t="shared" si="38"/>
        <v>0</v>
      </c>
    </row>
    <row r="129" spans="2:16">
      <c r="B129" s="160" t="str">
        <f t="shared" si="39"/>
        <v/>
      </c>
      <c r="C129" s="470">
        <f>IF(D93="","-",+C128+1)</f>
        <v>2039</v>
      </c>
      <c r="D129" s="345">
        <f>IF(F128+SUM(E$99:E128)=D$92,F128,D$92-SUM(E$99:E128))</f>
        <v>1496163.139999995</v>
      </c>
      <c r="E129" s="484">
        <f>IF(+J96&lt;F128,J96,D129)</f>
        <v>114363</v>
      </c>
      <c r="F129" s="483">
        <f t="shared" si="50"/>
        <v>1381800.139999995</v>
      </c>
      <c r="G129" s="483">
        <f t="shared" si="51"/>
        <v>1438981.639999995</v>
      </c>
      <c r="H129" s="486">
        <f t="shared" si="52"/>
        <v>278108.73993659578</v>
      </c>
      <c r="I129" s="540">
        <f t="shared" si="53"/>
        <v>278108.73993659578</v>
      </c>
      <c r="J129" s="476">
        <f t="shared" si="33"/>
        <v>0</v>
      </c>
      <c r="K129" s="476"/>
      <c r="L129" s="485"/>
      <c r="M129" s="476">
        <f t="shared" si="35"/>
        <v>0</v>
      </c>
      <c r="N129" s="485"/>
      <c r="O129" s="476">
        <f t="shared" si="37"/>
        <v>0</v>
      </c>
      <c r="P129" s="476">
        <f t="shared" si="38"/>
        <v>0</v>
      </c>
    </row>
    <row r="130" spans="2:16">
      <c r="B130" s="160" t="str">
        <f t="shared" si="39"/>
        <v/>
      </c>
      <c r="C130" s="470">
        <f>IF(D93="","-",+C129+1)</f>
        <v>2040</v>
      </c>
      <c r="D130" s="345">
        <f>IF(F129+SUM(E$99:E129)=D$92,F129,D$92-SUM(E$99:E129))</f>
        <v>1381800.139999995</v>
      </c>
      <c r="E130" s="484">
        <f>IF(+J96&lt;F129,J96,D130)</f>
        <v>114363</v>
      </c>
      <c r="F130" s="483">
        <f t="shared" si="50"/>
        <v>1267437.139999995</v>
      </c>
      <c r="G130" s="483">
        <f t="shared" si="51"/>
        <v>1324618.639999995</v>
      </c>
      <c r="H130" s="486">
        <f t="shared" si="52"/>
        <v>265095.05474713852</v>
      </c>
      <c r="I130" s="540">
        <f t="shared" si="53"/>
        <v>265095.05474713852</v>
      </c>
      <c r="J130" s="476">
        <f t="shared" si="33"/>
        <v>0</v>
      </c>
      <c r="K130" s="476"/>
      <c r="L130" s="485"/>
      <c r="M130" s="476">
        <f t="shared" si="35"/>
        <v>0</v>
      </c>
      <c r="N130" s="485"/>
      <c r="O130" s="476">
        <f t="shared" si="37"/>
        <v>0</v>
      </c>
      <c r="P130" s="476">
        <f t="shared" si="38"/>
        <v>0</v>
      </c>
    </row>
    <row r="131" spans="2:16">
      <c r="B131" s="160" t="str">
        <f t="shared" si="39"/>
        <v/>
      </c>
      <c r="C131" s="470">
        <f>IF(D93="","-",+C130+1)</f>
        <v>2041</v>
      </c>
      <c r="D131" s="345">
        <f>IF(F130+SUM(E$99:E130)=D$92,F130,D$92-SUM(E$99:E130))</f>
        <v>1267437.139999995</v>
      </c>
      <c r="E131" s="484">
        <f>IF(+J96&lt;F130,J96,D131)</f>
        <v>114363</v>
      </c>
      <c r="F131" s="483">
        <f t="shared" ref="F131:F154" si="54">+D131-E131</f>
        <v>1153074.139999995</v>
      </c>
      <c r="G131" s="483">
        <f t="shared" ref="G131:G154" si="55">+(F131+D131)/2</f>
        <v>1210255.639999995</v>
      </c>
      <c r="H131" s="486">
        <f t="shared" si="52"/>
        <v>252081.3695576812</v>
      </c>
      <c r="I131" s="540">
        <f t="shared" si="53"/>
        <v>252081.3695576812</v>
      </c>
      <c r="J131" s="476">
        <f t="shared" ref="J131:J154" si="56">+I131-H131</f>
        <v>0</v>
      </c>
      <c r="K131" s="476"/>
      <c r="L131" s="485"/>
      <c r="M131" s="476">
        <f t="shared" ref="M131:M154" si="57">IF(L131&lt;&gt;0,+H131-L131,0)</f>
        <v>0</v>
      </c>
      <c r="N131" s="485"/>
      <c r="O131" s="476">
        <f t="shared" ref="O131:O154" si="58">IF(N131&lt;&gt;0,+I131-N131,0)</f>
        <v>0</v>
      </c>
      <c r="P131" s="476">
        <f t="shared" ref="P131:P154" si="59">+O131-M131</f>
        <v>0</v>
      </c>
    </row>
    <row r="132" spans="2:16">
      <c r="B132" s="160" t="str">
        <f t="shared" si="39"/>
        <v/>
      </c>
      <c r="C132" s="470">
        <f>IF(D93="","-",+C131+1)</f>
        <v>2042</v>
      </c>
      <c r="D132" s="345">
        <f>IF(F131+SUM(E$99:E131)=D$92,F131,D$92-SUM(E$99:E131))</f>
        <v>1153074.139999995</v>
      </c>
      <c r="E132" s="484">
        <f>IF(+J96&lt;F131,J96,D132)</f>
        <v>114363</v>
      </c>
      <c r="F132" s="483">
        <f t="shared" si="54"/>
        <v>1038711.139999995</v>
      </c>
      <c r="G132" s="483">
        <f t="shared" si="55"/>
        <v>1095892.639999995</v>
      </c>
      <c r="H132" s="486">
        <f t="shared" si="52"/>
        <v>239067.68436822391</v>
      </c>
      <c r="I132" s="540">
        <f t="shared" si="53"/>
        <v>239067.68436822391</v>
      </c>
      <c r="J132" s="476">
        <f t="shared" si="56"/>
        <v>0</v>
      </c>
      <c r="K132" s="476"/>
      <c r="L132" s="485"/>
      <c r="M132" s="476">
        <f t="shared" si="57"/>
        <v>0</v>
      </c>
      <c r="N132" s="485"/>
      <c r="O132" s="476">
        <f t="shared" si="58"/>
        <v>0</v>
      </c>
      <c r="P132" s="476">
        <f t="shared" si="59"/>
        <v>0</v>
      </c>
    </row>
    <row r="133" spans="2:16">
      <c r="B133" s="160" t="str">
        <f t="shared" si="39"/>
        <v/>
      </c>
      <c r="C133" s="470">
        <f>IF(D93="","-",+C132+1)</f>
        <v>2043</v>
      </c>
      <c r="D133" s="345">
        <f>IF(F132+SUM(E$99:E132)=D$92,F132,D$92-SUM(E$99:E132))</f>
        <v>1038711.139999995</v>
      </c>
      <c r="E133" s="484">
        <f>IF(+J96&lt;F132,J96,D133)</f>
        <v>114363</v>
      </c>
      <c r="F133" s="483">
        <f t="shared" si="54"/>
        <v>924348.13999999501</v>
      </c>
      <c r="G133" s="483">
        <f t="shared" si="55"/>
        <v>981529.63999999501</v>
      </c>
      <c r="H133" s="486">
        <f t="shared" si="52"/>
        <v>226053.99917876662</v>
      </c>
      <c r="I133" s="540">
        <f t="shared" si="53"/>
        <v>226053.99917876662</v>
      </c>
      <c r="J133" s="476">
        <f t="shared" si="56"/>
        <v>0</v>
      </c>
      <c r="K133" s="476"/>
      <c r="L133" s="485"/>
      <c r="M133" s="476">
        <f t="shared" si="57"/>
        <v>0</v>
      </c>
      <c r="N133" s="485"/>
      <c r="O133" s="476">
        <f t="shared" si="58"/>
        <v>0</v>
      </c>
      <c r="P133" s="476">
        <f t="shared" si="59"/>
        <v>0</v>
      </c>
    </row>
    <row r="134" spans="2:16">
      <c r="B134" s="160" t="str">
        <f t="shared" si="39"/>
        <v/>
      </c>
      <c r="C134" s="470">
        <f>IF(D93="","-",+C133+1)</f>
        <v>2044</v>
      </c>
      <c r="D134" s="345">
        <f>IF(F133+SUM(E$99:E133)=D$92,F133,D$92-SUM(E$99:E133))</f>
        <v>924348.13999999501</v>
      </c>
      <c r="E134" s="484">
        <f>IF(+J96&lt;F133,J96,D134)</f>
        <v>114363</v>
      </c>
      <c r="F134" s="483">
        <f t="shared" si="54"/>
        <v>809985.13999999501</v>
      </c>
      <c r="G134" s="483">
        <f t="shared" si="55"/>
        <v>867166.63999999501</v>
      </c>
      <c r="H134" s="486">
        <f t="shared" si="52"/>
        <v>213040.3139893093</v>
      </c>
      <c r="I134" s="540">
        <f t="shared" si="53"/>
        <v>213040.3139893093</v>
      </c>
      <c r="J134" s="476">
        <f t="shared" si="56"/>
        <v>0</v>
      </c>
      <c r="K134" s="476"/>
      <c r="L134" s="485"/>
      <c r="M134" s="476">
        <f t="shared" si="57"/>
        <v>0</v>
      </c>
      <c r="N134" s="485"/>
      <c r="O134" s="476">
        <f t="shared" si="58"/>
        <v>0</v>
      </c>
      <c r="P134" s="476">
        <f t="shared" si="59"/>
        <v>0</v>
      </c>
    </row>
    <row r="135" spans="2:16">
      <c r="B135" s="160" t="str">
        <f t="shared" si="39"/>
        <v/>
      </c>
      <c r="C135" s="470">
        <f>IF(D93="","-",+C134+1)</f>
        <v>2045</v>
      </c>
      <c r="D135" s="345">
        <f>IF(F134+SUM(E$99:E134)=D$92,F134,D$92-SUM(E$99:E134))</f>
        <v>809985.13999999501</v>
      </c>
      <c r="E135" s="484">
        <f>IF(+J96&lt;F134,J96,D135)</f>
        <v>114363</v>
      </c>
      <c r="F135" s="483">
        <f t="shared" si="54"/>
        <v>695622.13999999501</v>
      </c>
      <c r="G135" s="483">
        <f t="shared" si="55"/>
        <v>752803.63999999501</v>
      </c>
      <c r="H135" s="486">
        <f t="shared" si="52"/>
        <v>200026.62879985204</v>
      </c>
      <c r="I135" s="540">
        <f t="shared" si="53"/>
        <v>200026.62879985204</v>
      </c>
      <c r="J135" s="476">
        <f t="shared" si="56"/>
        <v>0</v>
      </c>
      <c r="K135" s="476"/>
      <c r="L135" s="485"/>
      <c r="M135" s="476">
        <f t="shared" si="57"/>
        <v>0</v>
      </c>
      <c r="N135" s="485"/>
      <c r="O135" s="476">
        <f t="shared" si="58"/>
        <v>0</v>
      </c>
      <c r="P135" s="476">
        <f t="shared" si="59"/>
        <v>0</v>
      </c>
    </row>
    <row r="136" spans="2:16">
      <c r="B136" s="160" t="str">
        <f t="shared" si="39"/>
        <v/>
      </c>
      <c r="C136" s="470">
        <f>IF(D93="","-",+C135+1)</f>
        <v>2046</v>
      </c>
      <c r="D136" s="345">
        <f>IF(F135+SUM(E$99:E135)=D$92,F135,D$92-SUM(E$99:E135))</f>
        <v>695622.13999999501</v>
      </c>
      <c r="E136" s="484">
        <f>IF(+J96&lt;F135,J96,D136)</f>
        <v>114363</v>
      </c>
      <c r="F136" s="483">
        <f t="shared" si="54"/>
        <v>581259.13999999501</v>
      </c>
      <c r="G136" s="483">
        <f t="shared" si="55"/>
        <v>638440.63999999501</v>
      </c>
      <c r="H136" s="486">
        <f t="shared" si="52"/>
        <v>187012.94361039472</v>
      </c>
      <c r="I136" s="540">
        <f t="shared" si="53"/>
        <v>187012.94361039472</v>
      </c>
      <c r="J136" s="476">
        <f t="shared" si="56"/>
        <v>0</v>
      </c>
      <c r="K136" s="476"/>
      <c r="L136" s="485"/>
      <c r="M136" s="476">
        <f t="shared" si="57"/>
        <v>0</v>
      </c>
      <c r="N136" s="485"/>
      <c r="O136" s="476">
        <f t="shared" si="58"/>
        <v>0</v>
      </c>
      <c r="P136" s="476">
        <f t="shared" si="59"/>
        <v>0</v>
      </c>
    </row>
    <row r="137" spans="2:16">
      <c r="B137" s="160" t="str">
        <f t="shared" si="39"/>
        <v/>
      </c>
      <c r="C137" s="470">
        <f>IF(D93="","-",+C136+1)</f>
        <v>2047</v>
      </c>
      <c r="D137" s="345">
        <f>IF(F136+SUM(E$99:E136)=D$92,F136,D$92-SUM(E$99:E136))</f>
        <v>581259.13999999501</v>
      </c>
      <c r="E137" s="484">
        <f>IF(+J96&lt;F136,J96,D137)</f>
        <v>114363</v>
      </c>
      <c r="F137" s="483">
        <f t="shared" si="54"/>
        <v>466896.13999999501</v>
      </c>
      <c r="G137" s="483">
        <f t="shared" si="55"/>
        <v>524077.63999999501</v>
      </c>
      <c r="H137" s="486">
        <f t="shared" si="52"/>
        <v>173999.25842093743</v>
      </c>
      <c r="I137" s="540">
        <f t="shared" si="53"/>
        <v>173999.25842093743</v>
      </c>
      <c r="J137" s="476">
        <f t="shared" si="56"/>
        <v>0</v>
      </c>
      <c r="K137" s="476"/>
      <c r="L137" s="485"/>
      <c r="M137" s="476">
        <f t="shared" si="57"/>
        <v>0</v>
      </c>
      <c r="N137" s="485"/>
      <c r="O137" s="476">
        <f t="shared" si="58"/>
        <v>0</v>
      </c>
      <c r="P137" s="476">
        <f t="shared" si="59"/>
        <v>0</v>
      </c>
    </row>
    <row r="138" spans="2:16">
      <c r="B138" s="160" t="str">
        <f t="shared" si="39"/>
        <v/>
      </c>
      <c r="C138" s="470">
        <f>IF(D93="","-",+C137+1)</f>
        <v>2048</v>
      </c>
      <c r="D138" s="345">
        <f>IF(F137+SUM(E$99:E137)=D$92,F137,D$92-SUM(E$99:E137))</f>
        <v>466896.13999999501</v>
      </c>
      <c r="E138" s="484">
        <f>IF(+J96&lt;F137,J96,D138)</f>
        <v>114363</v>
      </c>
      <c r="F138" s="483">
        <f t="shared" si="54"/>
        <v>352533.13999999501</v>
      </c>
      <c r="G138" s="483">
        <f t="shared" si="55"/>
        <v>409714.63999999501</v>
      </c>
      <c r="H138" s="486">
        <f t="shared" si="52"/>
        <v>160985.57323148014</v>
      </c>
      <c r="I138" s="540">
        <f t="shared" si="53"/>
        <v>160985.57323148014</v>
      </c>
      <c r="J138" s="476">
        <f t="shared" si="56"/>
        <v>0</v>
      </c>
      <c r="K138" s="476"/>
      <c r="L138" s="485"/>
      <c r="M138" s="476">
        <f t="shared" si="57"/>
        <v>0</v>
      </c>
      <c r="N138" s="485"/>
      <c r="O138" s="476">
        <f t="shared" si="58"/>
        <v>0</v>
      </c>
      <c r="P138" s="476">
        <f t="shared" si="59"/>
        <v>0</v>
      </c>
    </row>
    <row r="139" spans="2:16">
      <c r="B139" s="160" t="str">
        <f t="shared" si="39"/>
        <v/>
      </c>
      <c r="C139" s="470">
        <f>IF(D93="","-",+C138+1)</f>
        <v>2049</v>
      </c>
      <c r="D139" s="345">
        <f>IF(F138+SUM(E$99:E138)=D$92,F138,D$92-SUM(E$99:E138))</f>
        <v>352533.13999999501</v>
      </c>
      <c r="E139" s="484">
        <f>IF(+J96&lt;F138,J96,D139)</f>
        <v>114363</v>
      </c>
      <c r="F139" s="483">
        <f t="shared" si="54"/>
        <v>238170.13999999501</v>
      </c>
      <c r="G139" s="483">
        <f t="shared" si="55"/>
        <v>295351.63999999501</v>
      </c>
      <c r="H139" s="486">
        <f t="shared" si="52"/>
        <v>147971.88804202282</v>
      </c>
      <c r="I139" s="540">
        <f t="shared" si="53"/>
        <v>147971.88804202282</v>
      </c>
      <c r="J139" s="476">
        <f t="shared" si="56"/>
        <v>0</v>
      </c>
      <c r="K139" s="476"/>
      <c r="L139" s="485"/>
      <c r="M139" s="476">
        <f t="shared" si="57"/>
        <v>0</v>
      </c>
      <c r="N139" s="485"/>
      <c r="O139" s="476">
        <f t="shared" si="58"/>
        <v>0</v>
      </c>
      <c r="P139" s="476">
        <f t="shared" si="59"/>
        <v>0</v>
      </c>
    </row>
    <row r="140" spans="2:16">
      <c r="B140" s="160" t="str">
        <f t="shared" si="39"/>
        <v/>
      </c>
      <c r="C140" s="470">
        <f>IF(D93="","-",+C139+1)</f>
        <v>2050</v>
      </c>
      <c r="D140" s="345">
        <f>IF(F139+SUM(E$99:E139)=D$92,F139,D$92-SUM(E$99:E139))</f>
        <v>238170.13999999501</v>
      </c>
      <c r="E140" s="484">
        <f>IF(+J96&lt;F139,J96,D140)</f>
        <v>114363</v>
      </c>
      <c r="F140" s="483">
        <f t="shared" si="54"/>
        <v>123807.13999999501</v>
      </c>
      <c r="G140" s="483">
        <f t="shared" si="55"/>
        <v>180988.63999999501</v>
      </c>
      <c r="H140" s="486">
        <f t="shared" si="52"/>
        <v>134958.20285256553</v>
      </c>
      <c r="I140" s="540">
        <f t="shared" si="53"/>
        <v>134958.20285256553</v>
      </c>
      <c r="J140" s="476">
        <f t="shared" si="56"/>
        <v>0</v>
      </c>
      <c r="K140" s="476"/>
      <c r="L140" s="485"/>
      <c r="M140" s="476">
        <f t="shared" si="57"/>
        <v>0</v>
      </c>
      <c r="N140" s="485"/>
      <c r="O140" s="476">
        <f t="shared" si="58"/>
        <v>0</v>
      </c>
      <c r="P140" s="476">
        <f t="shared" si="59"/>
        <v>0</v>
      </c>
    </row>
    <row r="141" spans="2:16">
      <c r="B141" s="160" t="str">
        <f t="shared" si="39"/>
        <v/>
      </c>
      <c r="C141" s="470">
        <f>IF(D93="","-",+C140+1)</f>
        <v>2051</v>
      </c>
      <c r="D141" s="345">
        <f>IF(F140+SUM(E$99:E140)=D$92,F140,D$92-SUM(E$99:E140))</f>
        <v>123807.13999999501</v>
      </c>
      <c r="E141" s="484">
        <f>IF(+J96&lt;F140,J96,D141)</f>
        <v>114363</v>
      </c>
      <c r="F141" s="483">
        <f t="shared" si="54"/>
        <v>9444.1399999950081</v>
      </c>
      <c r="G141" s="483">
        <f t="shared" si="55"/>
        <v>66625.639999995008</v>
      </c>
      <c r="H141" s="486">
        <f t="shared" si="52"/>
        <v>121944.51766310824</v>
      </c>
      <c r="I141" s="540">
        <f t="shared" si="53"/>
        <v>121944.51766310824</v>
      </c>
      <c r="J141" s="476">
        <f t="shared" si="56"/>
        <v>0</v>
      </c>
      <c r="K141" s="476"/>
      <c r="L141" s="485"/>
      <c r="M141" s="476">
        <f t="shared" si="57"/>
        <v>0</v>
      </c>
      <c r="N141" s="485"/>
      <c r="O141" s="476">
        <f t="shared" si="58"/>
        <v>0</v>
      </c>
      <c r="P141" s="476">
        <f t="shared" si="59"/>
        <v>0</v>
      </c>
    </row>
    <row r="142" spans="2:16">
      <c r="B142" s="160" t="str">
        <f t="shared" si="39"/>
        <v/>
      </c>
      <c r="C142" s="470">
        <f>IF(D93="","-",+C141+1)</f>
        <v>2052</v>
      </c>
      <c r="D142" s="345">
        <f>IF(F141+SUM(E$99:E141)=D$92,F141,D$92-SUM(E$99:E141))</f>
        <v>9444.1399999950081</v>
      </c>
      <c r="E142" s="484">
        <f>IF(+J96&lt;F141,J96,D142)</f>
        <v>9444.1399999950081</v>
      </c>
      <c r="F142" s="483">
        <f t="shared" si="54"/>
        <v>0</v>
      </c>
      <c r="G142" s="483">
        <f t="shared" si="55"/>
        <v>4722.0699999975041</v>
      </c>
      <c r="H142" s="486">
        <f t="shared" si="52"/>
        <v>9981.477534184809</v>
      </c>
      <c r="I142" s="540">
        <f t="shared" si="53"/>
        <v>9981.477534184809</v>
      </c>
      <c r="J142" s="476">
        <f t="shared" si="56"/>
        <v>0</v>
      </c>
      <c r="K142" s="476"/>
      <c r="L142" s="485"/>
      <c r="M142" s="476">
        <f t="shared" si="57"/>
        <v>0</v>
      </c>
      <c r="N142" s="485"/>
      <c r="O142" s="476">
        <f t="shared" si="58"/>
        <v>0</v>
      </c>
      <c r="P142" s="476">
        <f t="shared" si="59"/>
        <v>0</v>
      </c>
    </row>
    <row r="143" spans="2:16">
      <c r="B143" s="160" t="str">
        <f t="shared" si="39"/>
        <v/>
      </c>
      <c r="C143" s="470">
        <f>IF(D93="","-",+C142+1)</f>
        <v>2053</v>
      </c>
      <c r="D143" s="345">
        <f>IF(F142+SUM(E$99:E142)=D$92,F142,D$92-SUM(E$99:E142))</f>
        <v>0</v>
      </c>
      <c r="E143" s="484">
        <f>IF(+J96&lt;F142,J96,D143)</f>
        <v>0</v>
      </c>
      <c r="F143" s="483">
        <f t="shared" si="54"/>
        <v>0</v>
      </c>
      <c r="G143" s="483">
        <f t="shared" si="55"/>
        <v>0</v>
      </c>
      <c r="H143" s="486">
        <f t="shared" si="52"/>
        <v>0</v>
      </c>
      <c r="I143" s="540">
        <f t="shared" si="53"/>
        <v>0</v>
      </c>
      <c r="J143" s="476">
        <f t="shared" si="56"/>
        <v>0</v>
      </c>
      <c r="K143" s="476"/>
      <c r="L143" s="485"/>
      <c r="M143" s="476">
        <f t="shared" si="57"/>
        <v>0</v>
      </c>
      <c r="N143" s="485"/>
      <c r="O143" s="476">
        <f t="shared" si="58"/>
        <v>0</v>
      </c>
      <c r="P143" s="476">
        <f t="shared" si="59"/>
        <v>0</v>
      </c>
    </row>
    <row r="144" spans="2:16">
      <c r="B144" s="160" t="str">
        <f t="shared" si="39"/>
        <v/>
      </c>
      <c r="C144" s="470">
        <f>IF(D93="","-",+C143+1)</f>
        <v>2054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54"/>
        <v>0</v>
      </c>
      <c r="G144" s="483">
        <f t="shared" si="55"/>
        <v>0</v>
      </c>
      <c r="H144" s="486">
        <f t="shared" si="52"/>
        <v>0</v>
      </c>
      <c r="I144" s="540">
        <f t="shared" si="53"/>
        <v>0</v>
      </c>
      <c r="J144" s="476">
        <f t="shared" si="56"/>
        <v>0</v>
      </c>
      <c r="K144" s="476"/>
      <c r="L144" s="485"/>
      <c r="M144" s="476">
        <f t="shared" si="57"/>
        <v>0</v>
      </c>
      <c r="N144" s="485"/>
      <c r="O144" s="476">
        <f t="shared" si="58"/>
        <v>0</v>
      </c>
      <c r="P144" s="476">
        <f t="shared" si="59"/>
        <v>0</v>
      </c>
    </row>
    <row r="145" spans="2:16">
      <c r="B145" s="160" t="str">
        <f t="shared" si="39"/>
        <v/>
      </c>
      <c r="C145" s="470">
        <f>IF(D93="","-",+C144+1)</f>
        <v>2055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54"/>
        <v>0</v>
      </c>
      <c r="G145" s="483">
        <f t="shared" si="55"/>
        <v>0</v>
      </c>
      <c r="H145" s="486">
        <f t="shared" si="52"/>
        <v>0</v>
      </c>
      <c r="I145" s="540">
        <f t="shared" si="53"/>
        <v>0</v>
      </c>
      <c r="J145" s="476">
        <f t="shared" si="56"/>
        <v>0</v>
      </c>
      <c r="K145" s="476"/>
      <c r="L145" s="485"/>
      <c r="M145" s="476">
        <f t="shared" si="57"/>
        <v>0</v>
      </c>
      <c r="N145" s="485"/>
      <c r="O145" s="476">
        <f t="shared" si="58"/>
        <v>0</v>
      </c>
      <c r="P145" s="476">
        <f t="shared" si="59"/>
        <v>0</v>
      </c>
    </row>
    <row r="146" spans="2:16">
      <c r="B146" s="160" t="str">
        <f t="shared" si="39"/>
        <v/>
      </c>
      <c r="C146" s="470">
        <f>IF(D93="","-",+C145+1)</f>
        <v>2056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si="54"/>
        <v>0</v>
      </c>
      <c r="G146" s="483">
        <f t="shared" si="55"/>
        <v>0</v>
      </c>
      <c r="H146" s="486">
        <f t="shared" si="52"/>
        <v>0</v>
      </c>
      <c r="I146" s="540">
        <f t="shared" si="53"/>
        <v>0</v>
      </c>
      <c r="J146" s="476">
        <f t="shared" si="56"/>
        <v>0</v>
      </c>
      <c r="K146" s="476"/>
      <c r="L146" s="485"/>
      <c r="M146" s="476">
        <f t="shared" si="57"/>
        <v>0</v>
      </c>
      <c r="N146" s="485"/>
      <c r="O146" s="476">
        <f t="shared" si="58"/>
        <v>0</v>
      </c>
      <c r="P146" s="476">
        <f t="shared" si="59"/>
        <v>0</v>
      </c>
    </row>
    <row r="147" spans="2:16">
      <c r="B147" s="160" t="str">
        <f t="shared" si="39"/>
        <v/>
      </c>
      <c r="C147" s="470">
        <f>IF(D93="","-",+C146+1)</f>
        <v>2057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54"/>
        <v>0</v>
      </c>
      <c r="G147" s="483">
        <f t="shared" si="55"/>
        <v>0</v>
      </c>
      <c r="H147" s="486">
        <f t="shared" si="52"/>
        <v>0</v>
      </c>
      <c r="I147" s="540">
        <f t="shared" si="53"/>
        <v>0</v>
      </c>
      <c r="J147" s="476">
        <f t="shared" si="56"/>
        <v>0</v>
      </c>
      <c r="K147" s="476"/>
      <c r="L147" s="485"/>
      <c r="M147" s="476">
        <f t="shared" si="57"/>
        <v>0</v>
      </c>
      <c r="N147" s="485"/>
      <c r="O147" s="476">
        <f t="shared" si="58"/>
        <v>0</v>
      </c>
      <c r="P147" s="476">
        <f t="shared" si="59"/>
        <v>0</v>
      </c>
    </row>
    <row r="148" spans="2:16">
      <c r="B148" s="160" t="str">
        <f t="shared" si="39"/>
        <v/>
      </c>
      <c r="C148" s="470">
        <f>IF(D93="","-",+C147+1)</f>
        <v>2058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54"/>
        <v>0</v>
      </c>
      <c r="G148" s="483">
        <f t="shared" si="55"/>
        <v>0</v>
      </c>
      <c r="H148" s="486">
        <f t="shared" si="52"/>
        <v>0</v>
      </c>
      <c r="I148" s="540">
        <f t="shared" si="53"/>
        <v>0</v>
      </c>
      <c r="J148" s="476">
        <f t="shared" si="56"/>
        <v>0</v>
      </c>
      <c r="K148" s="476"/>
      <c r="L148" s="485"/>
      <c r="M148" s="476">
        <f t="shared" si="57"/>
        <v>0</v>
      </c>
      <c r="N148" s="485"/>
      <c r="O148" s="476">
        <f t="shared" si="58"/>
        <v>0</v>
      </c>
      <c r="P148" s="476">
        <f t="shared" si="59"/>
        <v>0</v>
      </c>
    </row>
    <row r="149" spans="2:16">
      <c r="B149" s="160" t="str">
        <f t="shared" si="39"/>
        <v/>
      </c>
      <c r="C149" s="470">
        <f>IF(D93="","-",+C148+1)</f>
        <v>2059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54"/>
        <v>0</v>
      </c>
      <c r="G149" s="483">
        <f t="shared" si="55"/>
        <v>0</v>
      </c>
      <c r="H149" s="486">
        <f t="shared" si="52"/>
        <v>0</v>
      </c>
      <c r="I149" s="540">
        <f t="shared" si="53"/>
        <v>0</v>
      </c>
      <c r="J149" s="476">
        <f t="shared" si="56"/>
        <v>0</v>
      </c>
      <c r="K149" s="476"/>
      <c r="L149" s="485"/>
      <c r="M149" s="476">
        <f t="shared" si="57"/>
        <v>0</v>
      </c>
      <c r="N149" s="485"/>
      <c r="O149" s="476">
        <f t="shared" si="58"/>
        <v>0</v>
      </c>
      <c r="P149" s="476">
        <f t="shared" si="59"/>
        <v>0</v>
      </c>
    </row>
    <row r="150" spans="2:16">
      <c r="B150" s="160" t="str">
        <f t="shared" si="39"/>
        <v/>
      </c>
      <c r="C150" s="470">
        <f>IF(D93="","-",+C149+1)</f>
        <v>2060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54"/>
        <v>0</v>
      </c>
      <c r="G150" s="483">
        <f t="shared" si="55"/>
        <v>0</v>
      </c>
      <c r="H150" s="486">
        <f t="shared" si="52"/>
        <v>0</v>
      </c>
      <c r="I150" s="540">
        <f t="shared" si="53"/>
        <v>0</v>
      </c>
      <c r="J150" s="476">
        <f t="shared" si="56"/>
        <v>0</v>
      </c>
      <c r="K150" s="476"/>
      <c r="L150" s="485"/>
      <c r="M150" s="476">
        <f t="shared" si="57"/>
        <v>0</v>
      </c>
      <c r="N150" s="485"/>
      <c r="O150" s="476">
        <f t="shared" si="58"/>
        <v>0</v>
      </c>
      <c r="P150" s="476">
        <f t="shared" si="59"/>
        <v>0</v>
      </c>
    </row>
    <row r="151" spans="2:16">
      <c r="B151" s="160" t="str">
        <f t="shared" si="39"/>
        <v/>
      </c>
      <c r="C151" s="470">
        <f>IF(D93="","-",+C150+1)</f>
        <v>2061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54"/>
        <v>0</v>
      </c>
      <c r="G151" s="483">
        <f t="shared" si="55"/>
        <v>0</v>
      </c>
      <c r="H151" s="486">
        <f t="shared" si="52"/>
        <v>0</v>
      </c>
      <c r="I151" s="540">
        <f t="shared" si="53"/>
        <v>0</v>
      </c>
      <c r="J151" s="476">
        <f t="shared" si="56"/>
        <v>0</v>
      </c>
      <c r="K151" s="476"/>
      <c r="L151" s="485"/>
      <c r="M151" s="476">
        <f t="shared" si="57"/>
        <v>0</v>
      </c>
      <c r="N151" s="485"/>
      <c r="O151" s="476">
        <f t="shared" si="58"/>
        <v>0</v>
      </c>
      <c r="P151" s="476">
        <f t="shared" si="59"/>
        <v>0</v>
      </c>
    </row>
    <row r="152" spans="2:16">
      <c r="B152" s="160" t="str">
        <f t="shared" si="39"/>
        <v/>
      </c>
      <c r="C152" s="470">
        <f>IF(D93="","-",+C151+1)</f>
        <v>2062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54"/>
        <v>0</v>
      </c>
      <c r="G152" s="483">
        <f t="shared" si="55"/>
        <v>0</v>
      </c>
      <c r="H152" s="486">
        <f t="shared" si="52"/>
        <v>0</v>
      </c>
      <c r="I152" s="540">
        <f t="shared" si="53"/>
        <v>0</v>
      </c>
      <c r="J152" s="476">
        <f t="shared" si="56"/>
        <v>0</v>
      </c>
      <c r="K152" s="476"/>
      <c r="L152" s="485"/>
      <c r="M152" s="476">
        <f t="shared" si="57"/>
        <v>0</v>
      </c>
      <c r="N152" s="485"/>
      <c r="O152" s="476">
        <f t="shared" si="58"/>
        <v>0</v>
      </c>
      <c r="P152" s="476">
        <f t="shared" si="59"/>
        <v>0</v>
      </c>
    </row>
    <row r="153" spans="2:16">
      <c r="B153" s="160" t="str">
        <f t="shared" si="39"/>
        <v/>
      </c>
      <c r="C153" s="470">
        <f>IF(D93="","-",+C152+1)</f>
        <v>2063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54"/>
        <v>0</v>
      </c>
      <c r="G153" s="483">
        <f t="shared" si="55"/>
        <v>0</v>
      </c>
      <c r="H153" s="486">
        <f t="shared" si="52"/>
        <v>0</v>
      </c>
      <c r="I153" s="540">
        <f t="shared" si="53"/>
        <v>0</v>
      </c>
      <c r="J153" s="476">
        <f t="shared" si="56"/>
        <v>0</v>
      </c>
      <c r="K153" s="476"/>
      <c r="L153" s="485"/>
      <c r="M153" s="476">
        <f t="shared" si="57"/>
        <v>0</v>
      </c>
      <c r="N153" s="485"/>
      <c r="O153" s="476">
        <f t="shared" si="58"/>
        <v>0</v>
      </c>
      <c r="P153" s="476">
        <f t="shared" si="59"/>
        <v>0</v>
      </c>
    </row>
    <row r="154" spans="2:16" ht="13.5" thickBot="1">
      <c r="B154" s="160" t="str">
        <f t="shared" si="39"/>
        <v/>
      </c>
      <c r="C154" s="487">
        <f>IF(D93="","-",+C153+1)</f>
        <v>2064</v>
      </c>
      <c r="D154" s="541">
        <f>IF(F153+SUM(E$99:E153)=D$92,F153,D$92-SUM(E$99:E153))</f>
        <v>0</v>
      </c>
      <c r="E154" s="542">
        <f>IF(+J96&lt;F153,J96,D154)</f>
        <v>0</v>
      </c>
      <c r="F154" s="488">
        <f t="shared" si="54"/>
        <v>0</v>
      </c>
      <c r="G154" s="488">
        <f t="shared" si="55"/>
        <v>0</v>
      </c>
      <c r="H154" s="490">
        <f t="shared" si="52"/>
        <v>0</v>
      </c>
      <c r="I154" s="543">
        <f t="shared" si="53"/>
        <v>0</v>
      </c>
      <c r="J154" s="493">
        <f t="shared" si="56"/>
        <v>0</v>
      </c>
      <c r="K154" s="476"/>
      <c r="L154" s="492"/>
      <c r="M154" s="493">
        <f t="shared" si="57"/>
        <v>0</v>
      </c>
      <c r="N154" s="492"/>
      <c r="O154" s="493">
        <f t="shared" si="58"/>
        <v>0</v>
      </c>
      <c r="P154" s="493">
        <f t="shared" si="59"/>
        <v>0</v>
      </c>
    </row>
    <row r="155" spans="2:16">
      <c r="C155" s="345" t="s">
        <v>77</v>
      </c>
      <c r="D155" s="346"/>
      <c r="E155" s="346">
        <f>SUM(E99:E154)</f>
        <v>4688896.139999995</v>
      </c>
      <c r="F155" s="346"/>
      <c r="G155" s="346"/>
      <c r="H155" s="346">
        <f>SUM(H99:H154)</f>
        <v>17309113.654577129</v>
      </c>
      <c r="I155" s="346">
        <f>SUM(I99:I154)</f>
        <v>17309113.654577129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 t="s">
        <v>100</v>
      </c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94" t="s">
        <v>107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78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 t="s">
        <v>79</v>
      </c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68" priority="1" stopIfTrue="1" operator="equal">
      <formula>$I$10</formula>
    </cfRule>
  </conditionalFormatting>
  <conditionalFormatting sqref="C99:C154">
    <cfRule type="cellIs" dxfId="67" priority="2" stopIfTrue="1" operator="equal">
      <formula>$J$92</formula>
    </cfRule>
  </conditionalFormatting>
  <pageMargins left="0.5" right="0.25" top="1" bottom="0.25" header="0.25" footer="0.5"/>
  <pageSetup scale="47" fitToHeight="0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1"/>
  <dimension ref="A1:P162"/>
  <sheetViews>
    <sheetView topLeftCell="A97" zoomScaleNormal="100" zoomScaleSheetLayoutView="75" workbookViewId="0">
      <selection activeCell="V52" sqref="V5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"&amp;RIGHT(MID(CELL("filename",$A$1),FIND("]",CELL("filename",$A$1))+1,256),1)&amp;" of "&amp;COUNT('P.001:P.xyz - blank'!$P$3)-1</f>
        <v>PSO Project 3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 t="str">
        <f>"For Calendar Year "&amp;V1-1&amp;" and Projected Year "&amp;V1</f>
        <v xml:space="preserve">For Calendar Year -1 and Projected Year </v>
      </c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1168640.8009077092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1168640.8009077092</v>
      </c>
      <c r="O6" s="231"/>
      <c r="P6" s="231"/>
    </row>
    <row r="7" spans="1:16" ht="13.5" thickBot="1">
      <c r="C7" s="429" t="s">
        <v>46</v>
      </c>
      <c r="D7" s="430" t="s">
        <v>208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/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A9" s="155"/>
      <c r="C9" s="438" t="s">
        <v>48</v>
      </c>
      <c r="D9" s="439" t="s">
        <v>81</v>
      </c>
      <c r="E9" s="575" t="s">
        <v>352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11456065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2009</v>
      </c>
      <c r="E11" s="448" t="s">
        <v>54</v>
      </c>
      <c r="F11" s="446"/>
      <c r="G11" s="194"/>
      <c r="H11" s="194"/>
      <c r="I11" s="450"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10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301475.39473684208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C17" s="470">
        <f>IF(D11= "","-",D11)</f>
        <v>2009</v>
      </c>
      <c r="D17" s="471">
        <v>9403820</v>
      </c>
      <c r="E17" s="472">
        <v>29572</v>
      </c>
      <c r="F17" s="471">
        <v>9374248</v>
      </c>
      <c r="G17" s="472">
        <v>388620</v>
      </c>
      <c r="H17" s="472">
        <v>388620</v>
      </c>
      <c r="I17" s="473">
        <f t="shared" ref="I17:I48" si="0">H17-G17</f>
        <v>0</v>
      </c>
      <c r="J17" s="473"/>
      <c r="K17" s="474">
        <v>388620</v>
      </c>
      <c r="L17" s="475">
        <f t="shared" ref="L17:L48" si="1">IF(K17&lt;&gt;0,+G17-K17,0)</f>
        <v>0</v>
      </c>
      <c r="M17" s="474">
        <v>388620</v>
      </c>
      <c r="N17" s="475">
        <f t="shared" ref="N17:N48" si="2">IF(M17&lt;&gt;0,+H17-M17,0)</f>
        <v>0</v>
      </c>
      <c r="O17" s="476">
        <f t="shared" ref="O17:O48" si="3">+N17-L17</f>
        <v>0</v>
      </c>
      <c r="P17" s="241"/>
    </row>
    <row r="18" spans="2:16">
      <c r="B18" s="160" t="str">
        <f>IF(D18=F17,"","IU")</f>
        <v>IU</v>
      </c>
      <c r="C18" s="470">
        <f>IF(D11="","-",+C17+1)</f>
        <v>2010</v>
      </c>
      <c r="D18" s="477">
        <v>12236959</v>
      </c>
      <c r="E18" s="478">
        <v>219045</v>
      </c>
      <c r="F18" s="477">
        <v>12017913</v>
      </c>
      <c r="G18" s="478">
        <v>1953188</v>
      </c>
      <c r="H18" s="479">
        <v>1953188</v>
      </c>
      <c r="I18" s="473">
        <f t="shared" si="0"/>
        <v>0</v>
      </c>
      <c r="J18" s="473"/>
      <c r="K18" s="474">
        <f t="shared" ref="K18:K23" si="4">G18</f>
        <v>1953188</v>
      </c>
      <c r="L18" s="548">
        <f t="shared" si="1"/>
        <v>0</v>
      </c>
      <c r="M18" s="474">
        <f t="shared" ref="M18:M23" si="5">H18</f>
        <v>1953188</v>
      </c>
      <c r="N18" s="476">
        <f t="shared" si="2"/>
        <v>0</v>
      </c>
      <c r="O18" s="476">
        <f t="shared" si="3"/>
        <v>0</v>
      </c>
      <c r="P18" s="241"/>
    </row>
    <row r="19" spans="2:16">
      <c r="B19" s="160" t="str">
        <f>IF(D19=F18,"","IU")</f>
        <v>IU</v>
      </c>
      <c r="C19" s="470">
        <f>IF(D11="","-",+C18+1)</f>
        <v>2011</v>
      </c>
      <c r="D19" s="477">
        <v>11983531</v>
      </c>
      <c r="E19" s="478">
        <v>239846.03921568627</v>
      </c>
      <c r="F19" s="477">
        <v>11743684.960784314</v>
      </c>
      <c r="G19" s="478">
        <v>2078241.729976739</v>
      </c>
      <c r="H19" s="479">
        <v>2078241.729976739</v>
      </c>
      <c r="I19" s="473">
        <f t="shared" si="0"/>
        <v>0</v>
      </c>
      <c r="J19" s="473"/>
      <c r="K19" s="474">
        <f t="shared" si="4"/>
        <v>2078241.729976739</v>
      </c>
      <c r="L19" s="548">
        <f t="shared" si="1"/>
        <v>0</v>
      </c>
      <c r="M19" s="474">
        <f t="shared" si="5"/>
        <v>2078241.729976739</v>
      </c>
      <c r="N19" s="476">
        <f t="shared" si="2"/>
        <v>0</v>
      </c>
      <c r="O19" s="476">
        <f t="shared" si="3"/>
        <v>0</v>
      </c>
      <c r="P19" s="241"/>
    </row>
    <row r="20" spans="2:16">
      <c r="B20" s="160" t="str">
        <f t="shared" ref="B20:B72" si="6">IF(D20=F19,"","IU")</f>
        <v/>
      </c>
      <c r="C20" s="470">
        <f>IF(D11="","-",+C19+1)</f>
        <v>2012</v>
      </c>
      <c r="D20" s="477">
        <v>11743684.960784314</v>
      </c>
      <c r="E20" s="478">
        <v>235233.61538461538</v>
      </c>
      <c r="F20" s="477">
        <v>11508451.345399698</v>
      </c>
      <c r="G20" s="478">
        <v>1837287.5395832672</v>
      </c>
      <c r="H20" s="479">
        <v>1837287.5395832672</v>
      </c>
      <c r="I20" s="473">
        <f t="shared" si="0"/>
        <v>0</v>
      </c>
      <c r="J20" s="473"/>
      <c r="K20" s="474">
        <f t="shared" si="4"/>
        <v>1837287.5395832672</v>
      </c>
      <c r="L20" s="548">
        <f t="shared" si="1"/>
        <v>0</v>
      </c>
      <c r="M20" s="474">
        <f t="shared" si="5"/>
        <v>1837287.5395832672</v>
      </c>
      <c r="N20" s="476">
        <f t="shared" si="2"/>
        <v>0</v>
      </c>
      <c r="O20" s="476">
        <f t="shared" si="3"/>
        <v>0</v>
      </c>
      <c r="P20" s="241"/>
    </row>
    <row r="21" spans="2:16">
      <c r="B21" s="160" t="str">
        <f t="shared" si="6"/>
        <v/>
      </c>
      <c r="C21" s="470">
        <f>IF(D12="","-",+C20+1)</f>
        <v>2013</v>
      </c>
      <c r="D21" s="477">
        <v>11508451.345399698</v>
      </c>
      <c r="E21" s="478">
        <v>235233.61538461538</v>
      </c>
      <c r="F21" s="477">
        <v>11273217.730015082</v>
      </c>
      <c r="G21" s="478">
        <v>1845125.3182548014</v>
      </c>
      <c r="H21" s="479">
        <v>1845125.3182548014</v>
      </c>
      <c r="I21" s="473">
        <v>0</v>
      </c>
      <c r="J21" s="473"/>
      <c r="K21" s="474">
        <f t="shared" si="4"/>
        <v>1845125.3182548014</v>
      </c>
      <c r="L21" s="548">
        <f t="shared" ref="L21:L26" si="7">IF(K21&lt;&gt;0,+G21-K21,0)</f>
        <v>0</v>
      </c>
      <c r="M21" s="474">
        <f t="shared" si="5"/>
        <v>1845125.3182548014</v>
      </c>
      <c r="N21" s="476">
        <f t="shared" ref="N21:N26" si="8">IF(M21&lt;&gt;0,+H21-M21,0)</f>
        <v>0</v>
      </c>
      <c r="O21" s="476">
        <f t="shared" ref="O21:O26" si="9">+N21-L21</f>
        <v>0</v>
      </c>
      <c r="P21" s="241"/>
    </row>
    <row r="22" spans="2:16">
      <c r="B22" s="160" t="str">
        <f t="shared" si="6"/>
        <v/>
      </c>
      <c r="C22" s="470">
        <f>IF(D11="","-",+C21+1)</f>
        <v>2014</v>
      </c>
      <c r="D22" s="477">
        <v>11273217.730015082</v>
      </c>
      <c r="E22" s="478">
        <v>235233.61538461538</v>
      </c>
      <c r="F22" s="477">
        <v>11037984.114630466</v>
      </c>
      <c r="G22" s="478">
        <v>1754708.9063952654</v>
      </c>
      <c r="H22" s="479">
        <v>1754708.9063952654</v>
      </c>
      <c r="I22" s="473">
        <v>0</v>
      </c>
      <c r="J22" s="473"/>
      <c r="K22" s="474">
        <f t="shared" si="4"/>
        <v>1754708.9063952654</v>
      </c>
      <c r="L22" s="548">
        <f t="shared" si="7"/>
        <v>0</v>
      </c>
      <c r="M22" s="474">
        <f t="shared" si="5"/>
        <v>1754708.9063952654</v>
      </c>
      <c r="N22" s="476">
        <f t="shared" si="8"/>
        <v>0</v>
      </c>
      <c r="O22" s="476">
        <f t="shared" si="9"/>
        <v>0</v>
      </c>
      <c r="P22" s="241"/>
    </row>
    <row r="23" spans="2:16">
      <c r="B23" s="160" t="str">
        <f t="shared" si="6"/>
        <v>IU</v>
      </c>
      <c r="C23" s="470">
        <f>IF(D11="","-",+C22+1)</f>
        <v>2015</v>
      </c>
      <c r="D23" s="477">
        <v>10261901.114630468</v>
      </c>
      <c r="E23" s="478">
        <v>220308.94230769231</v>
      </c>
      <c r="F23" s="477">
        <v>10041592.172322776</v>
      </c>
      <c r="G23" s="478">
        <v>1604759.8916783908</v>
      </c>
      <c r="H23" s="479">
        <v>1604759.8916783908</v>
      </c>
      <c r="I23" s="473">
        <v>0</v>
      </c>
      <c r="J23" s="473"/>
      <c r="K23" s="474">
        <f t="shared" si="4"/>
        <v>1604759.8916783908</v>
      </c>
      <c r="L23" s="548">
        <f t="shared" si="7"/>
        <v>0</v>
      </c>
      <c r="M23" s="474">
        <f t="shared" si="5"/>
        <v>1604759.8916783908</v>
      </c>
      <c r="N23" s="476">
        <f t="shared" si="8"/>
        <v>0</v>
      </c>
      <c r="O23" s="476">
        <f t="shared" si="9"/>
        <v>0</v>
      </c>
      <c r="P23" s="241"/>
    </row>
    <row r="24" spans="2:16">
      <c r="B24" s="160" t="str">
        <f t="shared" si="6"/>
        <v/>
      </c>
      <c r="C24" s="470">
        <f>IF(D11="","-",+C23+1)</f>
        <v>2016</v>
      </c>
      <c r="D24" s="477">
        <v>10041592.172322776</v>
      </c>
      <c r="E24" s="478">
        <v>220308.94230769231</v>
      </c>
      <c r="F24" s="477">
        <v>9821283.2300150841</v>
      </c>
      <c r="G24" s="478">
        <v>1508464.8564289983</v>
      </c>
      <c r="H24" s="479">
        <v>1508464.8564289983</v>
      </c>
      <c r="I24" s="473">
        <f t="shared" si="0"/>
        <v>0</v>
      </c>
      <c r="J24" s="473"/>
      <c r="K24" s="474">
        <f t="shared" ref="K24:K29" si="10">G24</f>
        <v>1508464.8564289983</v>
      </c>
      <c r="L24" s="548">
        <f t="shared" si="7"/>
        <v>0</v>
      </c>
      <c r="M24" s="474">
        <f t="shared" ref="M24:M29" si="11">H24</f>
        <v>1508464.8564289983</v>
      </c>
      <c r="N24" s="476">
        <f t="shared" si="8"/>
        <v>0</v>
      </c>
      <c r="O24" s="476">
        <f t="shared" si="9"/>
        <v>0</v>
      </c>
      <c r="P24" s="241"/>
    </row>
    <row r="25" spans="2:16">
      <c r="B25" s="160" t="str">
        <f t="shared" si="6"/>
        <v/>
      </c>
      <c r="C25" s="470">
        <f>IF(D11="","-",+C24+1)</f>
        <v>2017</v>
      </c>
      <c r="D25" s="477">
        <v>9821283.2300150841</v>
      </c>
      <c r="E25" s="478">
        <v>249044.89130434784</v>
      </c>
      <c r="F25" s="477">
        <v>9572238.3387107365</v>
      </c>
      <c r="G25" s="478">
        <v>1467214.2093174371</v>
      </c>
      <c r="H25" s="479">
        <v>1467214.2093174371</v>
      </c>
      <c r="I25" s="473">
        <f t="shared" si="0"/>
        <v>0</v>
      </c>
      <c r="J25" s="473"/>
      <c r="K25" s="474">
        <f t="shared" si="10"/>
        <v>1467214.2093174371</v>
      </c>
      <c r="L25" s="548">
        <f t="shared" si="7"/>
        <v>0</v>
      </c>
      <c r="M25" s="474">
        <f t="shared" si="11"/>
        <v>1467214.2093174371</v>
      </c>
      <c r="N25" s="476">
        <f t="shared" si="8"/>
        <v>0</v>
      </c>
      <c r="O25" s="476">
        <f t="shared" si="9"/>
        <v>0</v>
      </c>
      <c r="P25" s="241"/>
    </row>
    <row r="26" spans="2:16">
      <c r="B26" s="160" t="str">
        <f t="shared" si="6"/>
        <v/>
      </c>
      <c r="C26" s="470">
        <f>IF(D11="","-",+C25+1)</f>
        <v>2018</v>
      </c>
      <c r="D26" s="477">
        <v>9572238.3387107365</v>
      </c>
      <c r="E26" s="478">
        <v>254579.22222222222</v>
      </c>
      <c r="F26" s="477">
        <v>9317659.1164885145</v>
      </c>
      <c r="G26" s="478">
        <v>1385696.2768787597</v>
      </c>
      <c r="H26" s="479">
        <v>1385696.2768787597</v>
      </c>
      <c r="I26" s="473">
        <f t="shared" si="0"/>
        <v>0</v>
      </c>
      <c r="J26" s="473"/>
      <c r="K26" s="474">
        <f t="shared" si="10"/>
        <v>1385696.2768787597</v>
      </c>
      <c r="L26" s="548">
        <f t="shared" si="7"/>
        <v>0</v>
      </c>
      <c r="M26" s="474">
        <f t="shared" si="11"/>
        <v>1385696.2768787597</v>
      </c>
      <c r="N26" s="476">
        <f t="shared" si="8"/>
        <v>0</v>
      </c>
      <c r="O26" s="476">
        <f t="shared" si="9"/>
        <v>0</v>
      </c>
      <c r="P26" s="241"/>
    </row>
    <row r="27" spans="2:16">
      <c r="B27" s="160" t="str">
        <f t="shared" si="6"/>
        <v/>
      </c>
      <c r="C27" s="470">
        <f>IF(D11="","-",+C26+1)</f>
        <v>2019</v>
      </c>
      <c r="D27" s="477">
        <v>9317659.1164885145</v>
      </c>
      <c r="E27" s="478">
        <v>286401.625</v>
      </c>
      <c r="F27" s="477">
        <v>9031257.4914885145</v>
      </c>
      <c r="G27" s="478">
        <v>1310790.7332032048</v>
      </c>
      <c r="H27" s="479">
        <v>1310790.7332032048</v>
      </c>
      <c r="I27" s="473">
        <f t="shared" si="0"/>
        <v>0</v>
      </c>
      <c r="J27" s="473"/>
      <c r="K27" s="474">
        <f t="shared" si="10"/>
        <v>1310790.7332032048</v>
      </c>
      <c r="L27" s="548">
        <f t="shared" ref="L27" si="12">IF(K27&lt;&gt;0,+G27-K27,0)</f>
        <v>0</v>
      </c>
      <c r="M27" s="474">
        <f t="shared" si="11"/>
        <v>1310790.7332032048</v>
      </c>
      <c r="N27" s="476">
        <f t="shared" ref="N27" si="13">IF(M27&lt;&gt;0,+H27-M27,0)</f>
        <v>0</v>
      </c>
      <c r="O27" s="476">
        <f t="shared" ref="O27" si="14">+N27-L27</f>
        <v>0</v>
      </c>
      <c r="P27" s="241"/>
    </row>
    <row r="28" spans="2:16">
      <c r="B28" s="160" t="str">
        <f t="shared" si="6"/>
        <v>IU</v>
      </c>
      <c r="C28" s="470">
        <f>IF(D11="","-",+C27+1)</f>
        <v>2020</v>
      </c>
      <c r="D28" s="477">
        <v>9012688</v>
      </c>
      <c r="E28" s="478">
        <v>272763.45238095237</v>
      </c>
      <c r="F28" s="477">
        <v>8739924.5476190485</v>
      </c>
      <c r="G28" s="478">
        <v>1231446.9312681679</v>
      </c>
      <c r="H28" s="479">
        <v>1231446.9312681679</v>
      </c>
      <c r="I28" s="473">
        <f t="shared" si="0"/>
        <v>0</v>
      </c>
      <c r="J28" s="473"/>
      <c r="K28" s="474">
        <f t="shared" si="10"/>
        <v>1231446.9312681679</v>
      </c>
      <c r="L28" s="548">
        <f t="shared" ref="L28" si="15">IF(K28&lt;&gt;0,+G28-K28,0)</f>
        <v>0</v>
      </c>
      <c r="M28" s="474">
        <f t="shared" si="11"/>
        <v>1231446.9312681679</v>
      </c>
      <c r="N28" s="476">
        <f t="shared" si="2"/>
        <v>0</v>
      </c>
      <c r="O28" s="476">
        <f t="shared" si="3"/>
        <v>0</v>
      </c>
      <c r="P28" s="241"/>
    </row>
    <row r="29" spans="2:16">
      <c r="B29" s="160" t="str">
        <f t="shared" si="6"/>
        <v>IU</v>
      </c>
      <c r="C29" s="470">
        <f>IF(D11="","-",+C28+1)</f>
        <v>2021</v>
      </c>
      <c r="D29" s="477">
        <v>8758494.0391075611</v>
      </c>
      <c r="E29" s="478">
        <v>266420.11627906974</v>
      </c>
      <c r="F29" s="477">
        <v>8492073.9228284918</v>
      </c>
      <c r="G29" s="478">
        <v>1182049.5546801805</v>
      </c>
      <c r="H29" s="479">
        <v>1182049.5546801805</v>
      </c>
      <c r="I29" s="473">
        <f t="shared" si="0"/>
        <v>0</v>
      </c>
      <c r="J29" s="473"/>
      <c r="K29" s="474">
        <f t="shared" si="10"/>
        <v>1182049.5546801805</v>
      </c>
      <c r="L29" s="548">
        <f t="shared" ref="L29" si="16">IF(K29&lt;&gt;0,+G29-K29,0)</f>
        <v>0</v>
      </c>
      <c r="M29" s="474">
        <f t="shared" si="11"/>
        <v>1182049.5546801805</v>
      </c>
      <c r="N29" s="476">
        <f t="shared" si="2"/>
        <v>0</v>
      </c>
      <c r="O29" s="476">
        <f t="shared" si="3"/>
        <v>0</v>
      </c>
      <c r="P29" s="241"/>
    </row>
    <row r="30" spans="2:16">
      <c r="B30" s="160" t="str">
        <f t="shared" si="6"/>
        <v/>
      </c>
      <c r="C30" s="470">
        <f>IF(D11="","-",+C29+1)</f>
        <v>2022</v>
      </c>
      <c r="D30" s="477">
        <v>8492073.9228284918</v>
      </c>
      <c r="E30" s="478">
        <v>272763.45238095237</v>
      </c>
      <c r="F30" s="477">
        <v>8219310.4704475394</v>
      </c>
      <c r="G30" s="478">
        <v>1158897.5538764906</v>
      </c>
      <c r="H30" s="479">
        <v>1158897.5538764906</v>
      </c>
      <c r="I30" s="473">
        <f t="shared" si="0"/>
        <v>0</v>
      </c>
      <c r="J30" s="473"/>
      <c r="K30" s="474">
        <f t="shared" ref="K30" si="17">G30</f>
        <v>1158897.5538764906</v>
      </c>
      <c r="L30" s="548">
        <f t="shared" ref="L30" si="18">IF(K30&lt;&gt;0,+G30-K30,0)</f>
        <v>0</v>
      </c>
      <c r="M30" s="474">
        <f t="shared" ref="M30" si="19">H30</f>
        <v>1158897.5538764906</v>
      </c>
      <c r="N30" s="476">
        <f t="shared" si="2"/>
        <v>0</v>
      </c>
      <c r="O30" s="476">
        <f t="shared" si="3"/>
        <v>0</v>
      </c>
      <c r="P30" s="241"/>
    </row>
    <row r="31" spans="2:16">
      <c r="B31" s="160" t="str">
        <f t="shared" si="6"/>
        <v/>
      </c>
      <c r="C31" s="470">
        <f>IF(D11="","-",+C30+1)</f>
        <v>2023</v>
      </c>
      <c r="D31" s="477">
        <v>8219310.4704475394</v>
      </c>
      <c r="E31" s="478">
        <v>293745.25641025644</v>
      </c>
      <c r="F31" s="477">
        <v>7925565.2140372833</v>
      </c>
      <c r="G31" s="478">
        <v>1239732.4037197519</v>
      </c>
      <c r="H31" s="479">
        <v>1239732.4037197519</v>
      </c>
      <c r="I31" s="473">
        <f t="shared" si="0"/>
        <v>0</v>
      </c>
      <c r="J31" s="473"/>
      <c r="K31" s="474">
        <f t="shared" ref="K31" si="20">G31</f>
        <v>1239732.4037197519</v>
      </c>
      <c r="L31" s="548">
        <f t="shared" ref="L31" si="21">IF(K31&lt;&gt;0,+G31-K31,0)</f>
        <v>0</v>
      </c>
      <c r="M31" s="474">
        <f t="shared" ref="M31" si="22">H31</f>
        <v>1239732.4037197519</v>
      </c>
      <c r="N31" s="476">
        <f t="shared" ref="N31" si="23">IF(M31&lt;&gt;0,+H31-M31,0)</f>
        <v>0</v>
      </c>
      <c r="O31" s="476">
        <f t="shared" ref="O31" si="24">+N31-L31</f>
        <v>0</v>
      </c>
      <c r="P31" s="241"/>
    </row>
    <row r="32" spans="2:16">
      <c r="B32" s="160" t="str">
        <f t="shared" si="6"/>
        <v/>
      </c>
      <c r="C32" s="631">
        <f>IF(D11="","-",+C31+1)</f>
        <v>2024</v>
      </c>
      <c r="D32" s="483">
        <f>IF(F31+SUM(E$17:E31)=D$10,F31,D$10-SUM(E$17:E31))</f>
        <v>7925565.2140372833</v>
      </c>
      <c r="E32" s="482">
        <f>IF(+I14&lt;F31,I14,D32)</f>
        <v>301475.39473684208</v>
      </c>
      <c r="F32" s="483">
        <f t="shared" ref="F32:F72" si="25">+D32-E32</f>
        <v>7624089.8193004411</v>
      </c>
      <c r="G32" s="484">
        <f t="shared" ref="G32:G72" si="26">+I$12*F32+E32</f>
        <v>1168640.8009077092</v>
      </c>
      <c r="H32" s="453">
        <f t="shared" ref="H32:H72" si="27">+I$13*F32+E32</f>
        <v>1168640.8009077092</v>
      </c>
      <c r="I32" s="473">
        <f t="shared" si="0"/>
        <v>0</v>
      </c>
      <c r="J32" s="473"/>
      <c r="K32" s="485"/>
      <c r="L32" s="476">
        <f t="shared" si="1"/>
        <v>0</v>
      </c>
      <c r="M32" s="485"/>
      <c r="N32" s="476">
        <f t="shared" si="2"/>
        <v>0</v>
      </c>
      <c r="O32" s="476">
        <f t="shared" si="3"/>
        <v>0</v>
      </c>
      <c r="P32" s="241"/>
    </row>
    <row r="33" spans="2:16">
      <c r="B33" s="160" t="str">
        <f t="shared" si="6"/>
        <v/>
      </c>
      <c r="C33" s="470">
        <f>IF(D11="","-",+C32+1)</f>
        <v>2025</v>
      </c>
      <c r="D33" s="483">
        <f>IF(F32+SUM(E$17:E32)=D$10,F32,D$10-SUM(E$17:E32))</f>
        <v>7624089.8193004411</v>
      </c>
      <c r="E33" s="482">
        <f>IF(+I14&lt;F32,I14,D33)</f>
        <v>301475.39473684208</v>
      </c>
      <c r="F33" s="483">
        <f t="shared" si="25"/>
        <v>7322614.4245635988</v>
      </c>
      <c r="G33" s="484">
        <f t="shared" si="26"/>
        <v>1134350.93295971</v>
      </c>
      <c r="H33" s="453">
        <f t="shared" si="27"/>
        <v>1134350.93295971</v>
      </c>
      <c r="I33" s="473">
        <f t="shared" si="0"/>
        <v>0</v>
      </c>
      <c r="J33" s="473"/>
      <c r="K33" s="485"/>
      <c r="L33" s="476">
        <f t="shared" si="1"/>
        <v>0</v>
      </c>
      <c r="M33" s="485"/>
      <c r="N33" s="476">
        <f t="shared" si="2"/>
        <v>0</v>
      </c>
      <c r="O33" s="476">
        <f t="shared" si="3"/>
        <v>0</v>
      </c>
      <c r="P33" s="241"/>
    </row>
    <row r="34" spans="2:16">
      <c r="B34" s="160" t="str">
        <f t="shared" si="6"/>
        <v/>
      </c>
      <c r="C34" s="470">
        <f>IF(D11="","-",+C33+1)</f>
        <v>2026</v>
      </c>
      <c r="D34" s="483">
        <f>IF(F33+SUM(E$17:E33)=D$10,F33,D$10-SUM(E$17:E33))</f>
        <v>7322614.4245635988</v>
      </c>
      <c r="E34" s="482">
        <f>IF(+I14&lt;F33,I14,D34)</f>
        <v>301475.39473684208</v>
      </c>
      <c r="F34" s="483">
        <f t="shared" si="25"/>
        <v>7021139.0298267566</v>
      </c>
      <c r="G34" s="484">
        <f t="shared" si="26"/>
        <v>1100061.0650117109</v>
      </c>
      <c r="H34" s="453">
        <f t="shared" si="27"/>
        <v>1100061.0650117109</v>
      </c>
      <c r="I34" s="473">
        <f t="shared" si="0"/>
        <v>0</v>
      </c>
      <c r="J34" s="473"/>
      <c r="K34" s="485"/>
      <c r="L34" s="476">
        <f t="shared" si="1"/>
        <v>0</v>
      </c>
      <c r="M34" s="485"/>
      <c r="N34" s="476">
        <f t="shared" si="2"/>
        <v>0</v>
      </c>
      <c r="O34" s="476">
        <f t="shared" si="3"/>
        <v>0</v>
      </c>
      <c r="P34" s="241"/>
    </row>
    <row r="35" spans="2:16">
      <c r="B35" s="160" t="str">
        <f t="shared" si="6"/>
        <v/>
      </c>
      <c r="C35" s="470">
        <f>IF(D11="","-",+C34+1)</f>
        <v>2027</v>
      </c>
      <c r="D35" s="483">
        <f>IF(F34+SUM(E$17:E34)=D$10,F34,D$10-SUM(E$17:E34))</f>
        <v>7021139.0298267566</v>
      </c>
      <c r="E35" s="482">
        <f>IF(+I14&lt;F34,I14,D35)</f>
        <v>301475.39473684208</v>
      </c>
      <c r="F35" s="483">
        <f t="shared" si="25"/>
        <v>6719663.6350899143</v>
      </c>
      <c r="G35" s="484">
        <f t="shared" si="26"/>
        <v>1065771.1970637119</v>
      </c>
      <c r="H35" s="453">
        <f t="shared" si="27"/>
        <v>1065771.1970637119</v>
      </c>
      <c r="I35" s="473">
        <f t="shared" si="0"/>
        <v>0</v>
      </c>
      <c r="J35" s="473"/>
      <c r="K35" s="485"/>
      <c r="L35" s="476">
        <f t="shared" si="1"/>
        <v>0</v>
      </c>
      <c r="M35" s="485"/>
      <c r="N35" s="476">
        <f t="shared" si="2"/>
        <v>0</v>
      </c>
      <c r="O35" s="476">
        <f t="shared" si="3"/>
        <v>0</v>
      </c>
      <c r="P35" s="241"/>
    </row>
    <row r="36" spans="2:16">
      <c r="B36" s="160" t="str">
        <f t="shared" si="6"/>
        <v/>
      </c>
      <c r="C36" s="470">
        <f>IF(D11="","-",+C35+1)</f>
        <v>2028</v>
      </c>
      <c r="D36" s="483">
        <f>IF(F35+SUM(E$17:E35)=D$10,F35,D$10-SUM(E$17:E35))</f>
        <v>6719663.6350899143</v>
      </c>
      <c r="E36" s="482">
        <f>IF(+I14&lt;F35,I14,D36)</f>
        <v>301475.39473684208</v>
      </c>
      <c r="F36" s="483">
        <f t="shared" si="25"/>
        <v>6418188.2403530721</v>
      </c>
      <c r="G36" s="484">
        <f t="shared" si="26"/>
        <v>1031481.3291157128</v>
      </c>
      <c r="H36" s="453">
        <f t="shared" si="27"/>
        <v>1031481.3291157128</v>
      </c>
      <c r="I36" s="473">
        <f t="shared" si="0"/>
        <v>0</v>
      </c>
      <c r="J36" s="473"/>
      <c r="K36" s="485"/>
      <c r="L36" s="476">
        <f t="shared" si="1"/>
        <v>0</v>
      </c>
      <c r="M36" s="485"/>
      <c r="N36" s="476">
        <f t="shared" si="2"/>
        <v>0</v>
      </c>
      <c r="O36" s="476">
        <f t="shared" si="3"/>
        <v>0</v>
      </c>
      <c r="P36" s="241"/>
    </row>
    <row r="37" spans="2:16">
      <c r="B37" s="160" t="str">
        <f t="shared" si="6"/>
        <v/>
      </c>
      <c r="C37" s="470">
        <f>IF(D11="","-",+C36+1)</f>
        <v>2029</v>
      </c>
      <c r="D37" s="483">
        <f>IF(F36+SUM(E$17:E36)=D$10,F36,D$10-SUM(E$17:E36))</f>
        <v>6418188.2403530721</v>
      </c>
      <c r="E37" s="482">
        <f>IF(+I14&lt;F36,I14,D37)</f>
        <v>301475.39473684208</v>
      </c>
      <c r="F37" s="483">
        <f t="shared" si="25"/>
        <v>6116712.8456162298</v>
      </c>
      <c r="G37" s="484">
        <f t="shared" si="26"/>
        <v>997191.46116771363</v>
      </c>
      <c r="H37" s="453">
        <f t="shared" si="27"/>
        <v>997191.46116771363</v>
      </c>
      <c r="I37" s="473">
        <f t="shared" si="0"/>
        <v>0</v>
      </c>
      <c r="J37" s="473"/>
      <c r="K37" s="485"/>
      <c r="L37" s="476">
        <f t="shared" si="1"/>
        <v>0</v>
      </c>
      <c r="M37" s="485"/>
      <c r="N37" s="476">
        <f t="shared" si="2"/>
        <v>0</v>
      </c>
      <c r="O37" s="476">
        <f t="shared" si="3"/>
        <v>0</v>
      </c>
      <c r="P37" s="241"/>
    </row>
    <row r="38" spans="2:16">
      <c r="B38" s="160" t="str">
        <f t="shared" si="6"/>
        <v/>
      </c>
      <c r="C38" s="470">
        <f>IF(D11="","-",+C37+1)</f>
        <v>2030</v>
      </c>
      <c r="D38" s="483">
        <f>IF(F37+SUM(E$17:E37)=D$10,F37,D$10-SUM(E$17:E37))</f>
        <v>6116712.8456162298</v>
      </c>
      <c r="E38" s="482">
        <f>IF(+I14&lt;F37,I14,D38)</f>
        <v>301475.39473684208</v>
      </c>
      <c r="F38" s="483">
        <f t="shared" si="25"/>
        <v>5815237.4508793876</v>
      </c>
      <c r="G38" s="484">
        <f t="shared" si="26"/>
        <v>962901.5932197147</v>
      </c>
      <c r="H38" s="453">
        <f t="shared" si="27"/>
        <v>962901.5932197147</v>
      </c>
      <c r="I38" s="473">
        <f t="shared" si="0"/>
        <v>0</v>
      </c>
      <c r="J38" s="473"/>
      <c r="K38" s="485"/>
      <c r="L38" s="476">
        <f t="shared" si="1"/>
        <v>0</v>
      </c>
      <c r="M38" s="485"/>
      <c r="N38" s="476">
        <f t="shared" si="2"/>
        <v>0</v>
      </c>
      <c r="O38" s="476">
        <f t="shared" si="3"/>
        <v>0</v>
      </c>
      <c r="P38" s="241"/>
    </row>
    <row r="39" spans="2:16">
      <c r="B39" s="160" t="str">
        <f t="shared" si="6"/>
        <v/>
      </c>
      <c r="C39" s="470">
        <f>IF(D11="","-",+C38+1)</f>
        <v>2031</v>
      </c>
      <c r="D39" s="483">
        <f>IF(F38+SUM(E$17:E38)=D$10,F38,D$10-SUM(E$17:E38))</f>
        <v>5815237.4508793876</v>
      </c>
      <c r="E39" s="482">
        <f>IF(+I14&lt;F38,I14,D39)</f>
        <v>301475.39473684208</v>
      </c>
      <c r="F39" s="483">
        <f t="shared" si="25"/>
        <v>5513762.0561425453</v>
      </c>
      <c r="G39" s="484">
        <f t="shared" si="26"/>
        <v>928611.72527171555</v>
      </c>
      <c r="H39" s="453">
        <f t="shared" si="27"/>
        <v>928611.72527171555</v>
      </c>
      <c r="I39" s="473">
        <f t="shared" si="0"/>
        <v>0</v>
      </c>
      <c r="J39" s="473"/>
      <c r="K39" s="485"/>
      <c r="L39" s="476">
        <f t="shared" si="1"/>
        <v>0</v>
      </c>
      <c r="M39" s="485"/>
      <c r="N39" s="476">
        <f t="shared" si="2"/>
        <v>0</v>
      </c>
      <c r="O39" s="476">
        <f t="shared" si="3"/>
        <v>0</v>
      </c>
      <c r="P39" s="241"/>
    </row>
    <row r="40" spans="2:16">
      <c r="B40" s="160" t="str">
        <f t="shared" si="6"/>
        <v/>
      </c>
      <c r="C40" s="470">
        <f>IF(D11="","-",+C39+1)</f>
        <v>2032</v>
      </c>
      <c r="D40" s="483">
        <f>IF(F39+SUM(E$17:E39)=D$10,F39,D$10-SUM(E$17:E39))</f>
        <v>5513762.0561425453</v>
      </c>
      <c r="E40" s="482">
        <f>IF(+I14&lt;F39,I14,D40)</f>
        <v>301475.39473684208</v>
      </c>
      <c r="F40" s="483">
        <f t="shared" si="25"/>
        <v>5212286.6614057031</v>
      </c>
      <c r="G40" s="484">
        <f t="shared" si="26"/>
        <v>894321.85732371639</v>
      </c>
      <c r="H40" s="453">
        <f t="shared" si="27"/>
        <v>894321.85732371639</v>
      </c>
      <c r="I40" s="473">
        <f t="shared" si="0"/>
        <v>0</v>
      </c>
      <c r="J40" s="473"/>
      <c r="K40" s="485"/>
      <c r="L40" s="476">
        <f t="shared" si="1"/>
        <v>0</v>
      </c>
      <c r="M40" s="485"/>
      <c r="N40" s="476">
        <f t="shared" si="2"/>
        <v>0</v>
      </c>
      <c r="O40" s="476">
        <f t="shared" si="3"/>
        <v>0</v>
      </c>
      <c r="P40" s="241"/>
    </row>
    <row r="41" spans="2:16">
      <c r="B41" s="160" t="str">
        <f t="shared" si="6"/>
        <v/>
      </c>
      <c r="C41" s="470">
        <f>IF(D11="","-",+C40+1)</f>
        <v>2033</v>
      </c>
      <c r="D41" s="483">
        <f>IF(F40+SUM(E$17:E40)=D$10,F40,D$10-SUM(E$17:E40))</f>
        <v>5212286.6614057031</v>
      </c>
      <c r="E41" s="482">
        <f>IF(+I14&lt;F40,I14,D41)</f>
        <v>301475.39473684208</v>
      </c>
      <c r="F41" s="483">
        <f t="shared" si="25"/>
        <v>4910811.2666688608</v>
      </c>
      <c r="G41" s="484">
        <f t="shared" si="26"/>
        <v>860031.98937571747</v>
      </c>
      <c r="H41" s="453">
        <f t="shared" si="27"/>
        <v>860031.98937571747</v>
      </c>
      <c r="I41" s="473">
        <f t="shared" si="0"/>
        <v>0</v>
      </c>
      <c r="J41" s="473"/>
      <c r="K41" s="485"/>
      <c r="L41" s="476">
        <f t="shared" si="1"/>
        <v>0</v>
      </c>
      <c r="M41" s="485"/>
      <c r="N41" s="476">
        <f t="shared" si="2"/>
        <v>0</v>
      </c>
      <c r="O41" s="476">
        <f t="shared" si="3"/>
        <v>0</v>
      </c>
      <c r="P41" s="241"/>
    </row>
    <row r="42" spans="2:16">
      <c r="B42" s="160" t="str">
        <f t="shared" si="6"/>
        <v/>
      </c>
      <c r="C42" s="470">
        <f>IF(D11="","-",+C41+1)</f>
        <v>2034</v>
      </c>
      <c r="D42" s="483">
        <f>IF(F41+SUM(E$17:E41)=D$10,F41,D$10-SUM(E$17:E41))</f>
        <v>4910811.2666688608</v>
      </c>
      <c r="E42" s="482">
        <f>IF(+I14&lt;F41,I14,D42)</f>
        <v>301475.39473684208</v>
      </c>
      <c r="F42" s="483">
        <f t="shared" si="25"/>
        <v>4609335.8719320185</v>
      </c>
      <c r="G42" s="484">
        <f t="shared" si="26"/>
        <v>825742.12142771832</v>
      </c>
      <c r="H42" s="453">
        <f t="shared" si="27"/>
        <v>825742.12142771832</v>
      </c>
      <c r="I42" s="473">
        <f t="shared" si="0"/>
        <v>0</v>
      </c>
      <c r="J42" s="473"/>
      <c r="K42" s="485"/>
      <c r="L42" s="476">
        <f t="shared" si="1"/>
        <v>0</v>
      </c>
      <c r="M42" s="485"/>
      <c r="N42" s="476">
        <f t="shared" si="2"/>
        <v>0</v>
      </c>
      <c r="O42" s="476">
        <f t="shared" si="3"/>
        <v>0</v>
      </c>
      <c r="P42" s="241"/>
    </row>
    <row r="43" spans="2:16">
      <c r="B43" s="160" t="str">
        <f t="shared" si="6"/>
        <v/>
      </c>
      <c r="C43" s="470">
        <f>IF(D11="","-",+C42+1)</f>
        <v>2035</v>
      </c>
      <c r="D43" s="483">
        <f>IF(F42+SUM(E$17:E42)=D$10,F42,D$10-SUM(E$17:E42))</f>
        <v>4609335.8719320185</v>
      </c>
      <c r="E43" s="482">
        <f>IF(+I14&lt;F42,I14,D43)</f>
        <v>301475.39473684208</v>
      </c>
      <c r="F43" s="483">
        <f t="shared" si="25"/>
        <v>4307860.4771951763</v>
      </c>
      <c r="G43" s="484">
        <f t="shared" si="26"/>
        <v>791452.25347971916</v>
      </c>
      <c r="H43" s="453">
        <f t="shared" si="27"/>
        <v>791452.25347971916</v>
      </c>
      <c r="I43" s="473">
        <f t="shared" si="0"/>
        <v>0</v>
      </c>
      <c r="J43" s="473"/>
      <c r="K43" s="485"/>
      <c r="L43" s="476">
        <f t="shared" si="1"/>
        <v>0</v>
      </c>
      <c r="M43" s="485"/>
      <c r="N43" s="476">
        <f t="shared" si="2"/>
        <v>0</v>
      </c>
      <c r="O43" s="476">
        <f t="shared" si="3"/>
        <v>0</v>
      </c>
      <c r="P43" s="241"/>
    </row>
    <row r="44" spans="2:16">
      <c r="B44" s="160" t="str">
        <f t="shared" si="6"/>
        <v/>
      </c>
      <c r="C44" s="470">
        <f>IF(D11="","-",+C43+1)</f>
        <v>2036</v>
      </c>
      <c r="D44" s="483">
        <f>IF(F43+SUM(E$17:E43)=D$10,F43,D$10-SUM(E$17:E43))</f>
        <v>4307860.4771951763</v>
      </c>
      <c r="E44" s="482">
        <f>IF(+I14&lt;F43,I14,D44)</f>
        <v>301475.39473684208</v>
      </c>
      <c r="F44" s="483">
        <f t="shared" si="25"/>
        <v>4006385.082458334</v>
      </c>
      <c r="G44" s="484">
        <f t="shared" si="26"/>
        <v>757162.38553172024</v>
      </c>
      <c r="H44" s="453">
        <f t="shared" si="27"/>
        <v>757162.38553172024</v>
      </c>
      <c r="I44" s="473">
        <f t="shared" si="0"/>
        <v>0</v>
      </c>
      <c r="J44" s="473"/>
      <c r="K44" s="485"/>
      <c r="L44" s="476">
        <f t="shared" si="1"/>
        <v>0</v>
      </c>
      <c r="M44" s="485"/>
      <c r="N44" s="476">
        <f t="shared" si="2"/>
        <v>0</v>
      </c>
      <c r="O44" s="476">
        <f t="shared" si="3"/>
        <v>0</v>
      </c>
      <c r="P44" s="241"/>
    </row>
    <row r="45" spans="2:16">
      <c r="B45" s="160" t="str">
        <f t="shared" si="6"/>
        <v/>
      </c>
      <c r="C45" s="470">
        <f>IF(D11="","-",+C44+1)</f>
        <v>2037</v>
      </c>
      <c r="D45" s="483">
        <f>IF(F44+SUM(E$17:E44)=D$10,F44,D$10-SUM(E$17:E44))</f>
        <v>4006385.082458334</v>
      </c>
      <c r="E45" s="482">
        <f>IF(+I14&lt;F44,I14,D45)</f>
        <v>301475.39473684208</v>
      </c>
      <c r="F45" s="483">
        <f t="shared" si="25"/>
        <v>3704909.6877214918</v>
      </c>
      <c r="G45" s="484">
        <f t="shared" si="26"/>
        <v>722872.51758372108</v>
      </c>
      <c r="H45" s="453">
        <f t="shared" si="27"/>
        <v>722872.51758372108</v>
      </c>
      <c r="I45" s="473">
        <f t="shared" si="0"/>
        <v>0</v>
      </c>
      <c r="J45" s="473"/>
      <c r="K45" s="485"/>
      <c r="L45" s="476">
        <f t="shared" si="1"/>
        <v>0</v>
      </c>
      <c r="M45" s="485"/>
      <c r="N45" s="476">
        <f t="shared" si="2"/>
        <v>0</v>
      </c>
      <c r="O45" s="476">
        <f t="shared" si="3"/>
        <v>0</v>
      </c>
      <c r="P45" s="241"/>
    </row>
    <row r="46" spans="2:16">
      <c r="B46" s="160" t="str">
        <f t="shared" si="6"/>
        <v/>
      </c>
      <c r="C46" s="470">
        <f>IF(D11="","-",+C45+1)</f>
        <v>2038</v>
      </c>
      <c r="D46" s="483">
        <f>IF(F45+SUM(E$17:E45)=D$10,F45,D$10-SUM(E$17:E45))</f>
        <v>3704909.6877214918</v>
      </c>
      <c r="E46" s="482">
        <f>IF(+I14&lt;F45,I14,D46)</f>
        <v>301475.39473684208</v>
      </c>
      <c r="F46" s="483">
        <f t="shared" si="25"/>
        <v>3403434.2929846495</v>
      </c>
      <c r="G46" s="484">
        <f t="shared" si="26"/>
        <v>688582.64963572193</v>
      </c>
      <c r="H46" s="453">
        <f t="shared" si="27"/>
        <v>688582.64963572193</v>
      </c>
      <c r="I46" s="473">
        <f t="shared" si="0"/>
        <v>0</v>
      </c>
      <c r="J46" s="473"/>
      <c r="K46" s="485"/>
      <c r="L46" s="476">
        <f t="shared" si="1"/>
        <v>0</v>
      </c>
      <c r="M46" s="485"/>
      <c r="N46" s="476">
        <f t="shared" si="2"/>
        <v>0</v>
      </c>
      <c r="O46" s="476">
        <f t="shared" si="3"/>
        <v>0</v>
      </c>
      <c r="P46" s="241"/>
    </row>
    <row r="47" spans="2:16">
      <c r="B47" s="160" t="str">
        <f t="shared" si="6"/>
        <v/>
      </c>
      <c r="C47" s="470">
        <f>IF(D11="","-",+C46+1)</f>
        <v>2039</v>
      </c>
      <c r="D47" s="483">
        <f>IF(F46+SUM(E$17:E46)=D$10,F46,D$10-SUM(E$17:E46))</f>
        <v>3403434.2929846495</v>
      </c>
      <c r="E47" s="482">
        <f>IF(+I14&lt;F46,I14,D47)</f>
        <v>301475.39473684208</v>
      </c>
      <c r="F47" s="483">
        <f t="shared" si="25"/>
        <v>3101958.8982478073</v>
      </c>
      <c r="G47" s="484">
        <f t="shared" si="26"/>
        <v>654292.78168772301</v>
      </c>
      <c r="H47" s="453">
        <f t="shared" si="27"/>
        <v>654292.78168772301</v>
      </c>
      <c r="I47" s="473">
        <f t="shared" si="0"/>
        <v>0</v>
      </c>
      <c r="J47" s="473"/>
      <c r="K47" s="485"/>
      <c r="L47" s="476">
        <f t="shared" si="1"/>
        <v>0</v>
      </c>
      <c r="M47" s="485"/>
      <c r="N47" s="476">
        <f t="shared" si="2"/>
        <v>0</v>
      </c>
      <c r="O47" s="476">
        <f t="shared" si="3"/>
        <v>0</v>
      </c>
      <c r="P47" s="241"/>
    </row>
    <row r="48" spans="2:16">
      <c r="B48" s="160" t="str">
        <f t="shared" si="6"/>
        <v/>
      </c>
      <c r="C48" s="470">
        <f>IF(D11="","-",+C47+1)</f>
        <v>2040</v>
      </c>
      <c r="D48" s="483">
        <f>IF(F47+SUM(E$17:E47)=D$10,F47,D$10-SUM(E$17:E47))</f>
        <v>3101958.8982478073</v>
      </c>
      <c r="E48" s="482">
        <f>IF(+I14&lt;F47,I14,D48)</f>
        <v>301475.39473684208</v>
      </c>
      <c r="F48" s="483">
        <f t="shared" si="25"/>
        <v>2800483.503510965</v>
      </c>
      <c r="G48" s="484">
        <f t="shared" si="26"/>
        <v>620002.91373972385</v>
      </c>
      <c r="H48" s="453">
        <f t="shared" si="27"/>
        <v>620002.91373972385</v>
      </c>
      <c r="I48" s="473">
        <f t="shared" si="0"/>
        <v>0</v>
      </c>
      <c r="J48" s="473"/>
      <c r="K48" s="485"/>
      <c r="L48" s="476">
        <f t="shared" si="1"/>
        <v>0</v>
      </c>
      <c r="M48" s="485"/>
      <c r="N48" s="476">
        <f t="shared" si="2"/>
        <v>0</v>
      </c>
      <c r="O48" s="476">
        <f t="shared" si="3"/>
        <v>0</v>
      </c>
      <c r="P48" s="241"/>
    </row>
    <row r="49" spans="2:16">
      <c r="B49" s="160" t="str">
        <f t="shared" si="6"/>
        <v/>
      </c>
      <c r="C49" s="470">
        <f>IF(D11="","-",+C48+1)</f>
        <v>2041</v>
      </c>
      <c r="D49" s="483">
        <f>IF(F48+SUM(E$17:E48)=D$10,F48,D$10-SUM(E$17:E48))</f>
        <v>2800483.503510965</v>
      </c>
      <c r="E49" s="482">
        <f>IF(+I14&lt;F48,I14,D49)</f>
        <v>301475.39473684208</v>
      </c>
      <c r="F49" s="483">
        <f t="shared" si="25"/>
        <v>2499008.1087741228</v>
      </c>
      <c r="G49" s="484">
        <f t="shared" si="26"/>
        <v>585713.0457917247</v>
      </c>
      <c r="H49" s="453">
        <f t="shared" si="27"/>
        <v>585713.0457917247</v>
      </c>
      <c r="I49" s="473">
        <f t="shared" ref="I49:I72" si="28">H303-G303</f>
        <v>0</v>
      </c>
      <c r="J49" s="473"/>
      <c r="K49" s="485"/>
      <c r="L49" s="476">
        <f t="shared" ref="L49:L72" si="29">IF(K303&lt;&gt;0,+G303-K303,0)</f>
        <v>0</v>
      </c>
      <c r="M49" s="485"/>
      <c r="N49" s="476">
        <f t="shared" ref="N49:N72" si="30">IF(M303&lt;&gt;0,+H303-M303,0)</f>
        <v>0</v>
      </c>
      <c r="O49" s="476">
        <f t="shared" ref="O49:O72" si="31">+N303-L303</f>
        <v>0</v>
      </c>
      <c r="P49" s="241"/>
    </row>
    <row r="50" spans="2:16">
      <c r="B50" s="160" t="str">
        <f t="shared" si="6"/>
        <v/>
      </c>
      <c r="C50" s="470">
        <f>IF(D11="","-",+C49+1)</f>
        <v>2042</v>
      </c>
      <c r="D50" s="483">
        <f>IF(F49+SUM(E$17:E49)=D$10,F49,D$10-SUM(E$17:E49))</f>
        <v>2499008.1087741228</v>
      </c>
      <c r="E50" s="482">
        <f>IF(+I14&lt;F49,I14,D50)</f>
        <v>301475.39473684208</v>
      </c>
      <c r="F50" s="483">
        <f t="shared" si="25"/>
        <v>2197532.7140372805</v>
      </c>
      <c r="G50" s="484">
        <f t="shared" si="26"/>
        <v>551423.17784372566</v>
      </c>
      <c r="H50" s="453">
        <f t="shared" si="27"/>
        <v>551423.17784372566</v>
      </c>
      <c r="I50" s="473">
        <f t="shared" si="28"/>
        <v>0</v>
      </c>
      <c r="J50" s="473"/>
      <c r="K50" s="485"/>
      <c r="L50" s="476">
        <f t="shared" si="29"/>
        <v>0</v>
      </c>
      <c r="M50" s="485"/>
      <c r="N50" s="476">
        <f t="shared" si="30"/>
        <v>0</v>
      </c>
      <c r="O50" s="476">
        <f t="shared" si="31"/>
        <v>0</v>
      </c>
      <c r="P50" s="241"/>
    </row>
    <row r="51" spans="2:16">
      <c r="B51" s="160" t="str">
        <f t="shared" si="6"/>
        <v/>
      </c>
      <c r="C51" s="470">
        <f>IF(D11="","-",+C50+1)</f>
        <v>2043</v>
      </c>
      <c r="D51" s="483">
        <f>IF(F50+SUM(E$17:E50)=D$10,F50,D$10-SUM(E$17:E50))</f>
        <v>2197532.7140372805</v>
      </c>
      <c r="E51" s="482">
        <f>IF(+I14&lt;F50,I14,D51)</f>
        <v>301475.39473684208</v>
      </c>
      <c r="F51" s="483">
        <f t="shared" si="25"/>
        <v>1896057.3193004385</v>
      </c>
      <c r="G51" s="484">
        <f t="shared" si="26"/>
        <v>517133.30989572662</v>
      </c>
      <c r="H51" s="453">
        <f t="shared" si="27"/>
        <v>517133.30989572662</v>
      </c>
      <c r="I51" s="473">
        <f t="shared" si="28"/>
        <v>0</v>
      </c>
      <c r="J51" s="473"/>
      <c r="K51" s="485"/>
      <c r="L51" s="476">
        <f t="shared" si="29"/>
        <v>0</v>
      </c>
      <c r="M51" s="485"/>
      <c r="N51" s="476">
        <f t="shared" si="30"/>
        <v>0</v>
      </c>
      <c r="O51" s="476">
        <f t="shared" si="31"/>
        <v>0</v>
      </c>
      <c r="P51" s="241"/>
    </row>
    <row r="52" spans="2:16">
      <c r="B52" s="160" t="str">
        <f t="shared" si="6"/>
        <v/>
      </c>
      <c r="C52" s="470">
        <f>IF(D11="","-",+C51+1)</f>
        <v>2044</v>
      </c>
      <c r="D52" s="483">
        <f>IF(F51+SUM(E$17:E51)=D$10,F51,D$10-SUM(E$17:E51))</f>
        <v>1896057.3193004385</v>
      </c>
      <c r="E52" s="482">
        <f>IF(+I14&lt;F51,I14,D52)</f>
        <v>301475.39473684208</v>
      </c>
      <c r="F52" s="483">
        <f t="shared" si="25"/>
        <v>1594581.9245635965</v>
      </c>
      <c r="G52" s="484">
        <f t="shared" si="26"/>
        <v>482843.44194772758</v>
      </c>
      <c r="H52" s="453">
        <f t="shared" si="27"/>
        <v>482843.44194772758</v>
      </c>
      <c r="I52" s="473">
        <f t="shared" si="28"/>
        <v>0</v>
      </c>
      <c r="J52" s="473"/>
      <c r="K52" s="485"/>
      <c r="L52" s="476">
        <f t="shared" si="29"/>
        <v>0</v>
      </c>
      <c r="M52" s="485"/>
      <c r="N52" s="476">
        <f t="shared" si="30"/>
        <v>0</v>
      </c>
      <c r="O52" s="476">
        <f t="shared" si="31"/>
        <v>0</v>
      </c>
      <c r="P52" s="241"/>
    </row>
    <row r="53" spans="2:16">
      <c r="B53" s="160" t="str">
        <f t="shared" si="6"/>
        <v/>
      </c>
      <c r="C53" s="470">
        <f>IF(D11="","-",+C52+1)</f>
        <v>2045</v>
      </c>
      <c r="D53" s="483">
        <f>IF(F52+SUM(E$17:E52)=D$10,F52,D$10-SUM(E$17:E52))</f>
        <v>1594581.9245635965</v>
      </c>
      <c r="E53" s="482">
        <f>IF(+I14&lt;F52,I14,D53)</f>
        <v>301475.39473684208</v>
      </c>
      <c r="F53" s="483">
        <f t="shared" si="25"/>
        <v>1293106.5298267545</v>
      </c>
      <c r="G53" s="484">
        <f t="shared" si="26"/>
        <v>448553.57399972854</v>
      </c>
      <c r="H53" s="453">
        <f t="shared" si="27"/>
        <v>448553.57399972854</v>
      </c>
      <c r="I53" s="473">
        <f t="shared" si="28"/>
        <v>0</v>
      </c>
      <c r="J53" s="473"/>
      <c r="K53" s="485"/>
      <c r="L53" s="476">
        <f t="shared" si="29"/>
        <v>0</v>
      </c>
      <c r="M53" s="485"/>
      <c r="N53" s="476">
        <f t="shared" si="30"/>
        <v>0</v>
      </c>
      <c r="O53" s="476">
        <f t="shared" si="31"/>
        <v>0</v>
      </c>
      <c r="P53" s="241"/>
    </row>
    <row r="54" spans="2:16">
      <c r="B54" s="160" t="str">
        <f t="shared" si="6"/>
        <v/>
      </c>
      <c r="C54" s="470">
        <f>IF(D11="","-",+C53+1)</f>
        <v>2046</v>
      </c>
      <c r="D54" s="483">
        <f>IF(F53+SUM(E$17:E53)=D$10,F53,D$10-SUM(E$17:E53))</f>
        <v>1293106.5298267545</v>
      </c>
      <c r="E54" s="482">
        <f>IF(+I14&lt;F53,I14,D54)</f>
        <v>301475.39473684208</v>
      </c>
      <c r="F54" s="483">
        <f t="shared" si="25"/>
        <v>991631.13508991245</v>
      </c>
      <c r="G54" s="484">
        <f t="shared" si="26"/>
        <v>414263.7060517295</v>
      </c>
      <c r="H54" s="453">
        <f t="shared" si="27"/>
        <v>414263.7060517295</v>
      </c>
      <c r="I54" s="473">
        <f t="shared" si="28"/>
        <v>0</v>
      </c>
      <c r="J54" s="473"/>
      <c r="K54" s="485"/>
      <c r="L54" s="476">
        <f t="shared" si="29"/>
        <v>0</v>
      </c>
      <c r="M54" s="485"/>
      <c r="N54" s="476">
        <f t="shared" si="30"/>
        <v>0</v>
      </c>
      <c r="O54" s="476">
        <f t="shared" si="31"/>
        <v>0</v>
      </c>
      <c r="P54" s="241"/>
    </row>
    <row r="55" spans="2:16">
      <c r="B55" s="160" t="str">
        <f t="shared" si="6"/>
        <v/>
      </c>
      <c r="C55" s="470">
        <f>IF(D11="","-",+C54+1)</f>
        <v>2047</v>
      </c>
      <c r="D55" s="483">
        <f>IF(F54+SUM(E$17:E54)=D$10,F54,D$10-SUM(E$17:E54))</f>
        <v>991631.13508991245</v>
      </c>
      <c r="E55" s="482">
        <f>IF(+I14&lt;F54,I14,D55)</f>
        <v>301475.39473684208</v>
      </c>
      <c r="F55" s="483">
        <f t="shared" si="25"/>
        <v>690155.74035307043</v>
      </c>
      <c r="G55" s="484">
        <f t="shared" si="26"/>
        <v>379973.83810373046</v>
      </c>
      <c r="H55" s="453">
        <f t="shared" si="27"/>
        <v>379973.83810373046</v>
      </c>
      <c r="I55" s="473">
        <f t="shared" si="28"/>
        <v>0</v>
      </c>
      <c r="J55" s="473"/>
      <c r="K55" s="485"/>
      <c r="L55" s="476">
        <f t="shared" si="29"/>
        <v>0</v>
      </c>
      <c r="M55" s="485"/>
      <c r="N55" s="476">
        <f t="shared" si="30"/>
        <v>0</v>
      </c>
      <c r="O55" s="476">
        <f t="shared" si="31"/>
        <v>0</v>
      </c>
      <c r="P55" s="241"/>
    </row>
    <row r="56" spans="2:16">
      <c r="B56" s="160" t="str">
        <f t="shared" si="6"/>
        <v/>
      </c>
      <c r="C56" s="470">
        <f>IF(D11="","-",+C55+1)</f>
        <v>2048</v>
      </c>
      <c r="D56" s="483">
        <f>IF(F55+SUM(E$17:E55)=D$10,F55,D$10-SUM(E$17:E55))</f>
        <v>690155.74035307043</v>
      </c>
      <c r="E56" s="482">
        <f>IF(+I14&lt;F55,I14,D56)</f>
        <v>301475.39473684208</v>
      </c>
      <c r="F56" s="483">
        <f t="shared" si="25"/>
        <v>388680.34561622835</v>
      </c>
      <c r="G56" s="484">
        <f t="shared" si="26"/>
        <v>345683.97015573137</v>
      </c>
      <c r="H56" s="453">
        <f t="shared" si="27"/>
        <v>345683.97015573137</v>
      </c>
      <c r="I56" s="473">
        <f t="shared" si="28"/>
        <v>0</v>
      </c>
      <c r="J56" s="473"/>
      <c r="K56" s="485"/>
      <c r="L56" s="476">
        <f t="shared" si="29"/>
        <v>0</v>
      </c>
      <c r="M56" s="485"/>
      <c r="N56" s="476">
        <f t="shared" si="30"/>
        <v>0</v>
      </c>
      <c r="O56" s="476">
        <f t="shared" si="31"/>
        <v>0</v>
      </c>
      <c r="P56" s="241"/>
    </row>
    <row r="57" spans="2:16">
      <c r="B57" s="160" t="str">
        <f t="shared" si="6"/>
        <v/>
      </c>
      <c r="C57" s="470">
        <f>IF(D11="","-",+C56+1)</f>
        <v>2049</v>
      </c>
      <c r="D57" s="483">
        <f>IF(F56+SUM(E$17:E56)=D$10,F56,D$10-SUM(E$17:E56))</f>
        <v>388680.34561622835</v>
      </c>
      <c r="E57" s="482">
        <f>IF(+I14&lt;F56,I14,D57)</f>
        <v>301475.39473684208</v>
      </c>
      <c r="F57" s="483">
        <f t="shared" si="25"/>
        <v>87204.950879386277</v>
      </c>
      <c r="G57" s="484">
        <f t="shared" si="26"/>
        <v>311394.10220773233</v>
      </c>
      <c r="H57" s="453">
        <f t="shared" si="27"/>
        <v>311394.10220773233</v>
      </c>
      <c r="I57" s="473">
        <f t="shared" si="28"/>
        <v>0</v>
      </c>
      <c r="J57" s="473"/>
      <c r="K57" s="485"/>
      <c r="L57" s="476">
        <f t="shared" si="29"/>
        <v>0</v>
      </c>
      <c r="M57" s="485"/>
      <c r="N57" s="476">
        <f t="shared" si="30"/>
        <v>0</v>
      </c>
      <c r="O57" s="476">
        <f t="shared" si="31"/>
        <v>0</v>
      </c>
      <c r="P57" s="241"/>
    </row>
    <row r="58" spans="2:16">
      <c r="B58" s="160" t="str">
        <f t="shared" si="6"/>
        <v/>
      </c>
      <c r="C58" s="470">
        <f>IF(D11="","-",+C57+1)</f>
        <v>2050</v>
      </c>
      <c r="D58" s="483">
        <f>IF(F57+SUM(E$17:E57)=D$10,F57,D$10-SUM(E$17:E57))</f>
        <v>87204.950879386277</v>
      </c>
      <c r="E58" s="482">
        <f>IF(+I14&lt;F57,I14,D58)</f>
        <v>87204.950879386277</v>
      </c>
      <c r="F58" s="483">
        <f t="shared" si="25"/>
        <v>0</v>
      </c>
      <c r="G58" s="484">
        <f t="shared" si="26"/>
        <v>87204.950879386277</v>
      </c>
      <c r="H58" s="453">
        <f t="shared" si="27"/>
        <v>87204.950879386277</v>
      </c>
      <c r="I58" s="473">
        <f t="shared" si="28"/>
        <v>0</v>
      </c>
      <c r="J58" s="473"/>
      <c r="K58" s="485"/>
      <c r="L58" s="476">
        <f t="shared" si="29"/>
        <v>0</v>
      </c>
      <c r="M58" s="485"/>
      <c r="N58" s="476">
        <f t="shared" si="30"/>
        <v>0</v>
      </c>
      <c r="O58" s="476">
        <f t="shared" si="31"/>
        <v>0</v>
      </c>
      <c r="P58" s="241"/>
    </row>
    <row r="59" spans="2:16">
      <c r="B59" s="160" t="str">
        <f t="shared" si="6"/>
        <v/>
      </c>
      <c r="C59" s="470">
        <f>IF(D11="","-",+C58+1)</f>
        <v>2051</v>
      </c>
      <c r="D59" s="483">
        <f>IF(F58+SUM(E$17:E58)=D$10,F58,D$10-SUM(E$17:E58))</f>
        <v>0</v>
      </c>
      <c r="E59" s="482">
        <f>IF(+I14&lt;F58,I14,D59)</f>
        <v>0</v>
      </c>
      <c r="F59" s="483">
        <f t="shared" si="25"/>
        <v>0</v>
      </c>
      <c r="G59" s="484">
        <f t="shared" si="26"/>
        <v>0</v>
      </c>
      <c r="H59" s="453">
        <f t="shared" si="27"/>
        <v>0</v>
      </c>
      <c r="I59" s="473">
        <f t="shared" si="28"/>
        <v>0</v>
      </c>
      <c r="J59" s="473"/>
      <c r="K59" s="485"/>
      <c r="L59" s="476">
        <f t="shared" si="29"/>
        <v>0</v>
      </c>
      <c r="M59" s="485"/>
      <c r="N59" s="476">
        <f t="shared" si="30"/>
        <v>0</v>
      </c>
      <c r="O59" s="476">
        <f t="shared" si="31"/>
        <v>0</v>
      </c>
      <c r="P59" s="241"/>
    </row>
    <row r="60" spans="2:16">
      <c r="B60" s="160" t="str">
        <f t="shared" si="6"/>
        <v/>
      </c>
      <c r="C60" s="470">
        <f>IF(D11="","-",+C59+1)</f>
        <v>2052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5"/>
        <v>0</v>
      </c>
      <c r="G60" s="484">
        <f t="shared" si="26"/>
        <v>0</v>
      </c>
      <c r="H60" s="453">
        <f t="shared" si="27"/>
        <v>0</v>
      </c>
      <c r="I60" s="473">
        <f t="shared" si="28"/>
        <v>0</v>
      </c>
      <c r="J60" s="473"/>
      <c r="K60" s="485"/>
      <c r="L60" s="476">
        <f t="shared" si="29"/>
        <v>0</v>
      </c>
      <c r="M60" s="485"/>
      <c r="N60" s="476">
        <f t="shared" si="30"/>
        <v>0</v>
      </c>
      <c r="O60" s="476">
        <f t="shared" si="31"/>
        <v>0</v>
      </c>
      <c r="P60" s="241"/>
    </row>
    <row r="61" spans="2:16">
      <c r="B61" s="160" t="str">
        <f t="shared" si="6"/>
        <v/>
      </c>
      <c r="C61" s="470">
        <f>IF(D11="","-",+C60+1)</f>
        <v>2053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5"/>
        <v>0</v>
      </c>
      <c r="G61" s="486">
        <f t="shared" si="26"/>
        <v>0</v>
      </c>
      <c r="H61" s="453">
        <f t="shared" si="27"/>
        <v>0</v>
      </c>
      <c r="I61" s="473">
        <f t="shared" si="28"/>
        <v>0</v>
      </c>
      <c r="J61" s="473"/>
      <c r="K61" s="485"/>
      <c r="L61" s="476">
        <f t="shared" si="29"/>
        <v>0</v>
      </c>
      <c r="M61" s="485"/>
      <c r="N61" s="476">
        <f t="shared" si="30"/>
        <v>0</v>
      </c>
      <c r="O61" s="476">
        <f t="shared" si="31"/>
        <v>0</v>
      </c>
      <c r="P61" s="241"/>
    </row>
    <row r="62" spans="2:16">
      <c r="B62" s="160" t="str">
        <f t="shared" si="6"/>
        <v/>
      </c>
      <c r="C62" s="470">
        <f>IF(D11="","-",+C61+1)</f>
        <v>2054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5"/>
        <v>0</v>
      </c>
      <c r="G62" s="486">
        <f t="shared" si="26"/>
        <v>0</v>
      </c>
      <c r="H62" s="453">
        <f t="shared" si="27"/>
        <v>0</v>
      </c>
      <c r="I62" s="473">
        <f t="shared" si="28"/>
        <v>0</v>
      </c>
      <c r="J62" s="473"/>
      <c r="K62" s="485"/>
      <c r="L62" s="476">
        <f t="shared" si="29"/>
        <v>0</v>
      </c>
      <c r="M62" s="485"/>
      <c r="N62" s="476">
        <f t="shared" si="30"/>
        <v>0</v>
      </c>
      <c r="O62" s="476">
        <f t="shared" si="31"/>
        <v>0</v>
      </c>
      <c r="P62" s="241"/>
    </row>
    <row r="63" spans="2:16">
      <c r="B63" s="160" t="str">
        <f t="shared" si="6"/>
        <v/>
      </c>
      <c r="C63" s="470">
        <f>IF(D11="","-",+C62+1)</f>
        <v>2055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5"/>
        <v>0</v>
      </c>
      <c r="G63" s="486">
        <f t="shared" si="26"/>
        <v>0</v>
      </c>
      <c r="H63" s="453">
        <f t="shared" si="27"/>
        <v>0</v>
      </c>
      <c r="I63" s="473">
        <f t="shared" si="28"/>
        <v>0</v>
      </c>
      <c r="J63" s="473"/>
      <c r="K63" s="485"/>
      <c r="L63" s="476">
        <f t="shared" si="29"/>
        <v>0</v>
      </c>
      <c r="M63" s="485"/>
      <c r="N63" s="476">
        <f t="shared" si="30"/>
        <v>0</v>
      </c>
      <c r="O63" s="476">
        <f t="shared" si="31"/>
        <v>0</v>
      </c>
      <c r="P63" s="241"/>
    </row>
    <row r="64" spans="2:16">
      <c r="B64" s="160" t="str">
        <f t="shared" si="6"/>
        <v/>
      </c>
      <c r="C64" s="470">
        <f>IF(D11="","-",+C63+1)</f>
        <v>2056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5"/>
        <v>0</v>
      </c>
      <c r="G64" s="486">
        <f t="shared" si="26"/>
        <v>0</v>
      </c>
      <c r="H64" s="453">
        <f t="shared" si="27"/>
        <v>0</v>
      </c>
      <c r="I64" s="473">
        <f t="shared" si="28"/>
        <v>0</v>
      </c>
      <c r="J64" s="473"/>
      <c r="K64" s="485"/>
      <c r="L64" s="476">
        <f t="shared" si="29"/>
        <v>0</v>
      </c>
      <c r="M64" s="485"/>
      <c r="N64" s="476">
        <f t="shared" si="30"/>
        <v>0</v>
      </c>
      <c r="O64" s="476">
        <f t="shared" si="31"/>
        <v>0</v>
      </c>
      <c r="P64" s="241"/>
    </row>
    <row r="65" spans="2:16">
      <c r="B65" s="160" t="str">
        <f t="shared" si="6"/>
        <v/>
      </c>
      <c r="C65" s="470">
        <f>IF(D11="","-",+C64+1)</f>
        <v>2057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5"/>
        <v>0</v>
      </c>
      <c r="G65" s="486">
        <f t="shared" si="26"/>
        <v>0</v>
      </c>
      <c r="H65" s="453">
        <f t="shared" si="27"/>
        <v>0</v>
      </c>
      <c r="I65" s="473">
        <f t="shared" si="28"/>
        <v>0</v>
      </c>
      <c r="J65" s="473"/>
      <c r="K65" s="485"/>
      <c r="L65" s="476">
        <f t="shared" si="29"/>
        <v>0</v>
      </c>
      <c r="M65" s="485"/>
      <c r="N65" s="476">
        <f t="shared" si="30"/>
        <v>0</v>
      </c>
      <c r="O65" s="476">
        <f t="shared" si="31"/>
        <v>0</v>
      </c>
      <c r="P65" s="241"/>
    </row>
    <row r="66" spans="2:16">
      <c r="B66" s="160" t="str">
        <f t="shared" si="6"/>
        <v/>
      </c>
      <c r="C66" s="470">
        <f>IF(D11="","-",+C65+1)</f>
        <v>2058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5"/>
        <v>0</v>
      </c>
      <c r="G66" s="486">
        <f t="shared" si="26"/>
        <v>0</v>
      </c>
      <c r="H66" s="453">
        <f t="shared" si="27"/>
        <v>0</v>
      </c>
      <c r="I66" s="473">
        <f t="shared" si="28"/>
        <v>0</v>
      </c>
      <c r="J66" s="473"/>
      <c r="K66" s="485"/>
      <c r="L66" s="476">
        <f t="shared" si="29"/>
        <v>0</v>
      </c>
      <c r="M66" s="485"/>
      <c r="N66" s="476">
        <f t="shared" si="30"/>
        <v>0</v>
      </c>
      <c r="O66" s="476">
        <f t="shared" si="31"/>
        <v>0</v>
      </c>
      <c r="P66" s="241"/>
    </row>
    <row r="67" spans="2:16">
      <c r="B67" s="160" t="str">
        <f t="shared" si="6"/>
        <v/>
      </c>
      <c r="C67" s="470">
        <f>IF(D11="","-",+C66+1)</f>
        <v>2059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5"/>
        <v>0</v>
      </c>
      <c r="G67" s="486">
        <f t="shared" si="26"/>
        <v>0</v>
      </c>
      <c r="H67" s="453">
        <f t="shared" si="27"/>
        <v>0</v>
      </c>
      <c r="I67" s="473">
        <f t="shared" si="28"/>
        <v>0</v>
      </c>
      <c r="J67" s="473"/>
      <c r="K67" s="485"/>
      <c r="L67" s="476">
        <f t="shared" si="29"/>
        <v>0</v>
      </c>
      <c r="M67" s="485"/>
      <c r="N67" s="476">
        <f t="shared" si="30"/>
        <v>0</v>
      </c>
      <c r="O67" s="476">
        <f t="shared" si="31"/>
        <v>0</v>
      </c>
      <c r="P67" s="241"/>
    </row>
    <row r="68" spans="2:16">
      <c r="B68" s="160" t="str">
        <f t="shared" si="6"/>
        <v/>
      </c>
      <c r="C68" s="470">
        <f>IF(D11="","-",+C67+1)</f>
        <v>2060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5"/>
        <v>0</v>
      </c>
      <c r="G68" s="486">
        <f t="shared" si="26"/>
        <v>0</v>
      </c>
      <c r="H68" s="453">
        <f t="shared" si="27"/>
        <v>0</v>
      </c>
      <c r="I68" s="473">
        <f t="shared" si="28"/>
        <v>0</v>
      </c>
      <c r="J68" s="473"/>
      <c r="K68" s="485"/>
      <c r="L68" s="476">
        <f t="shared" si="29"/>
        <v>0</v>
      </c>
      <c r="M68" s="485"/>
      <c r="N68" s="476">
        <f t="shared" si="30"/>
        <v>0</v>
      </c>
      <c r="O68" s="476">
        <f t="shared" si="31"/>
        <v>0</v>
      </c>
      <c r="P68" s="241"/>
    </row>
    <row r="69" spans="2:16">
      <c r="B69" s="160" t="str">
        <f t="shared" si="6"/>
        <v/>
      </c>
      <c r="C69" s="470">
        <f>IF(D11="","-",+C68+1)</f>
        <v>2061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5"/>
        <v>0</v>
      </c>
      <c r="G69" s="486">
        <f t="shared" si="26"/>
        <v>0</v>
      </c>
      <c r="H69" s="453">
        <f t="shared" si="27"/>
        <v>0</v>
      </c>
      <c r="I69" s="473">
        <f t="shared" si="28"/>
        <v>0</v>
      </c>
      <c r="J69" s="473"/>
      <c r="K69" s="485"/>
      <c r="L69" s="476">
        <f t="shared" si="29"/>
        <v>0</v>
      </c>
      <c r="M69" s="485"/>
      <c r="N69" s="476">
        <f t="shared" si="30"/>
        <v>0</v>
      </c>
      <c r="O69" s="476">
        <f t="shared" si="31"/>
        <v>0</v>
      </c>
      <c r="P69" s="241"/>
    </row>
    <row r="70" spans="2:16">
      <c r="B70" s="160" t="str">
        <f t="shared" si="6"/>
        <v/>
      </c>
      <c r="C70" s="470">
        <f>IF(D11="","-",+C69+1)</f>
        <v>2062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5"/>
        <v>0</v>
      </c>
      <c r="G70" s="486">
        <f t="shared" si="26"/>
        <v>0</v>
      </c>
      <c r="H70" s="453">
        <f t="shared" si="27"/>
        <v>0</v>
      </c>
      <c r="I70" s="473">
        <f t="shared" si="28"/>
        <v>0</v>
      </c>
      <c r="J70" s="473"/>
      <c r="K70" s="485"/>
      <c r="L70" s="476">
        <f t="shared" si="29"/>
        <v>0</v>
      </c>
      <c r="M70" s="485"/>
      <c r="N70" s="476">
        <f t="shared" si="30"/>
        <v>0</v>
      </c>
      <c r="O70" s="476">
        <f t="shared" si="31"/>
        <v>0</v>
      </c>
      <c r="P70" s="241"/>
    </row>
    <row r="71" spans="2:16">
      <c r="B71" s="160" t="str">
        <f t="shared" si="6"/>
        <v/>
      </c>
      <c r="C71" s="470">
        <f>IF(D11="","-",+C70+1)</f>
        <v>2063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5"/>
        <v>0</v>
      </c>
      <c r="G71" s="486">
        <f t="shared" si="26"/>
        <v>0</v>
      </c>
      <c r="H71" s="453">
        <f t="shared" si="27"/>
        <v>0</v>
      </c>
      <c r="I71" s="473">
        <f t="shared" si="28"/>
        <v>0</v>
      </c>
      <c r="J71" s="473"/>
      <c r="K71" s="485"/>
      <c r="L71" s="476">
        <f t="shared" si="29"/>
        <v>0</v>
      </c>
      <c r="M71" s="485"/>
      <c r="N71" s="476">
        <f t="shared" si="30"/>
        <v>0</v>
      </c>
      <c r="O71" s="476">
        <f t="shared" si="31"/>
        <v>0</v>
      </c>
      <c r="P71" s="241"/>
    </row>
    <row r="72" spans="2:16" ht="13.5" thickBot="1">
      <c r="B72" s="160" t="str">
        <f t="shared" si="6"/>
        <v/>
      </c>
      <c r="C72" s="487">
        <f>IF(D11="","-",+C71+1)</f>
        <v>2064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5"/>
        <v>0</v>
      </c>
      <c r="G72" s="490">
        <f t="shared" si="26"/>
        <v>0</v>
      </c>
      <c r="H72" s="433">
        <f t="shared" si="27"/>
        <v>0</v>
      </c>
      <c r="I72" s="491">
        <f t="shared" si="28"/>
        <v>0</v>
      </c>
      <c r="J72" s="473"/>
      <c r="K72" s="492"/>
      <c r="L72" s="493">
        <f t="shared" si="29"/>
        <v>0</v>
      </c>
      <c r="M72" s="492"/>
      <c r="N72" s="493">
        <f t="shared" si="30"/>
        <v>0</v>
      </c>
      <c r="O72" s="493">
        <f t="shared" si="31"/>
        <v>0</v>
      </c>
      <c r="P72" s="241"/>
    </row>
    <row r="73" spans="2:16">
      <c r="C73" s="345" t="s">
        <v>77</v>
      </c>
      <c r="D73" s="346"/>
      <c r="E73" s="346">
        <f>SUM(E17:E72)</f>
        <v>11456064.999999993</v>
      </c>
      <c r="F73" s="346"/>
      <c r="G73" s="346">
        <f>SUM(G17:G72)</f>
        <v>41273882.596641585</v>
      </c>
      <c r="H73" s="346">
        <f>SUM(H17:H72)</f>
        <v>41273882.596641585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95" t="str">
        <f ca="1">P1</f>
        <v>PSO Project 3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1158897.5538764906</v>
      </c>
      <c r="N87" s="506">
        <f>IF(J92&lt;D11,0,VLOOKUP(J92,C17:O72,11))</f>
        <v>1158897.5538764906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1209030.4794242503</v>
      </c>
      <c r="N88" s="510">
        <f>IF(J92&lt;D11,0,VLOOKUP(J92,C99:P154,7))</f>
        <v>1209030.4794242503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WFEC New 138 kV Ties: Sayre to Erick (WFEC) Line &amp; Atoka and Tupelo station work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50132.925547759747</v>
      </c>
      <c r="N89" s="515">
        <f>+N88-N87</f>
        <v>50132.925547759747</v>
      </c>
      <c r="O89" s="516">
        <f>+O88-O87</f>
        <v>0</v>
      </c>
      <c r="P89" s="231"/>
    </row>
    <row r="90" spans="1:16" ht="13.5" thickBot="1">
      <c r="C90" s="494"/>
      <c r="D90" s="517">
        <f>D8</f>
        <v>0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TP2006054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445">
        <v>11456065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f>IF(D11=I10,"",D11)</f>
        <v>2009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f>IF(D11=I10,"",D12)</f>
        <v>10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279416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59" t="s">
        <v>211</v>
      </c>
      <c r="M97" s="461" t="s">
        <v>99</v>
      </c>
      <c r="N97" s="459" t="s">
        <v>211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2009</v>
      </c>
      <c r="D99" s="471">
        <v>0</v>
      </c>
      <c r="E99" s="478">
        <v>26281</v>
      </c>
      <c r="F99" s="477">
        <v>8804059</v>
      </c>
      <c r="G99" s="535">
        <v>4402030</v>
      </c>
      <c r="H99" s="536">
        <v>669894</v>
      </c>
      <c r="I99" s="537">
        <v>669894</v>
      </c>
      <c r="J99" s="476">
        <f t="shared" ref="J99:J130" si="32">+I99-H99</f>
        <v>0</v>
      </c>
      <c r="K99" s="476"/>
      <c r="L99" s="552">
        <f t="shared" ref="L99:L104" si="33">H99</f>
        <v>669894</v>
      </c>
      <c r="M99" s="475">
        <f t="shared" ref="M99:M130" si="34">IF(L99&lt;&gt;0,+H99-L99,0)</f>
        <v>0</v>
      </c>
      <c r="N99" s="552">
        <f t="shared" ref="N99:N104" si="35">I99</f>
        <v>669894</v>
      </c>
      <c r="O99" s="475">
        <f t="shared" ref="O99:O130" si="36">IF(N99&lt;&gt;0,+I99-N99,0)</f>
        <v>0</v>
      </c>
      <c r="P99" s="475">
        <f t="shared" ref="P99:P130" si="37">+O99-M99</f>
        <v>0</v>
      </c>
    </row>
    <row r="100" spans="1:16">
      <c r="B100" s="160" t="str">
        <f>IF(D100=F99,"","IU")</f>
        <v>IU</v>
      </c>
      <c r="C100" s="470">
        <f>IF(D93="","-",+C99+1)</f>
        <v>2010</v>
      </c>
      <c r="D100" s="471">
        <v>12205867</v>
      </c>
      <c r="E100" s="478">
        <v>239846</v>
      </c>
      <c r="F100" s="477">
        <v>11966021</v>
      </c>
      <c r="G100" s="477">
        <v>12085944</v>
      </c>
      <c r="H100" s="478">
        <v>2183449.7644146364</v>
      </c>
      <c r="I100" s="479">
        <v>2183449.7644146364</v>
      </c>
      <c r="J100" s="476">
        <f t="shared" si="32"/>
        <v>0</v>
      </c>
      <c r="K100" s="476"/>
      <c r="L100" s="538">
        <f t="shared" si="33"/>
        <v>2183449.7644146364</v>
      </c>
      <c r="M100" s="539">
        <f t="shared" si="34"/>
        <v>0</v>
      </c>
      <c r="N100" s="538">
        <f t="shared" si="35"/>
        <v>2183449.7644146364</v>
      </c>
      <c r="O100" s="476">
        <f t="shared" si="36"/>
        <v>0</v>
      </c>
      <c r="P100" s="476">
        <f t="shared" si="37"/>
        <v>0</v>
      </c>
    </row>
    <row r="101" spans="1:16">
      <c r="B101" s="160" t="str">
        <f t="shared" ref="B101:B154" si="38">IF(D101=F100,"","IU")</f>
        <v/>
      </c>
      <c r="C101" s="470">
        <f>IF(D93="","-",+C100+1)</f>
        <v>2011</v>
      </c>
      <c r="D101" s="471">
        <v>11966021</v>
      </c>
      <c r="E101" s="478">
        <v>235234</v>
      </c>
      <c r="F101" s="477">
        <v>11730787</v>
      </c>
      <c r="G101" s="477">
        <v>11848404</v>
      </c>
      <c r="H101" s="478">
        <v>1891800.0972614796</v>
      </c>
      <c r="I101" s="479">
        <v>1891800.0972614796</v>
      </c>
      <c r="J101" s="476">
        <f t="shared" si="32"/>
        <v>0</v>
      </c>
      <c r="K101" s="476"/>
      <c r="L101" s="538">
        <f t="shared" si="33"/>
        <v>1891800.0972614796</v>
      </c>
      <c r="M101" s="539">
        <f t="shared" si="34"/>
        <v>0</v>
      </c>
      <c r="N101" s="538">
        <f t="shared" si="35"/>
        <v>1891800.0972614796</v>
      </c>
      <c r="O101" s="476">
        <f t="shared" si="36"/>
        <v>0</v>
      </c>
      <c r="P101" s="476">
        <f t="shared" si="37"/>
        <v>0</v>
      </c>
    </row>
    <row r="102" spans="1:16">
      <c r="B102" s="160" t="str">
        <f t="shared" si="38"/>
        <v/>
      </c>
      <c r="C102" s="470">
        <f>IF(D93="","-",+C101+1)</f>
        <v>2012</v>
      </c>
      <c r="D102" s="471">
        <v>11730787</v>
      </c>
      <c r="E102" s="478">
        <v>235234</v>
      </c>
      <c r="F102" s="477">
        <v>11495553</v>
      </c>
      <c r="G102" s="477">
        <v>11613170</v>
      </c>
      <c r="H102" s="478">
        <v>1905852.1655461292</v>
      </c>
      <c r="I102" s="479">
        <v>1905852.1655461292</v>
      </c>
      <c r="J102" s="476">
        <v>0</v>
      </c>
      <c r="K102" s="476"/>
      <c r="L102" s="538">
        <f t="shared" si="33"/>
        <v>1905852.1655461292</v>
      </c>
      <c r="M102" s="539">
        <f t="shared" ref="M102:M107" si="39">IF(L102&lt;&gt;0,+H102-L102,0)</f>
        <v>0</v>
      </c>
      <c r="N102" s="538">
        <f t="shared" si="35"/>
        <v>1905852.1655461292</v>
      </c>
      <c r="O102" s="476">
        <f t="shared" ref="O102:O107" si="40">IF(N102&lt;&gt;0,+I102-N102,0)</f>
        <v>0</v>
      </c>
      <c r="P102" s="476">
        <f t="shared" ref="P102:P107" si="41">+O102-M102</f>
        <v>0</v>
      </c>
    </row>
    <row r="103" spans="1:16">
      <c r="B103" s="160" t="str">
        <f t="shared" si="38"/>
        <v/>
      </c>
      <c r="C103" s="470">
        <f>IF(D93="","-",+C102+1)</f>
        <v>2013</v>
      </c>
      <c r="D103" s="471">
        <v>11495553</v>
      </c>
      <c r="E103" s="478">
        <v>235234</v>
      </c>
      <c r="F103" s="477">
        <v>11260319</v>
      </c>
      <c r="G103" s="477">
        <v>11377936</v>
      </c>
      <c r="H103" s="478">
        <v>1872969.4877104962</v>
      </c>
      <c r="I103" s="479">
        <v>1872969.4877104962</v>
      </c>
      <c r="J103" s="476">
        <v>0</v>
      </c>
      <c r="K103" s="476"/>
      <c r="L103" s="538">
        <f t="shared" si="33"/>
        <v>1872969.4877104962</v>
      </c>
      <c r="M103" s="539">
        <f t="shared" si="39"/>
        <v>0</v>
      </c>
      <c r="N103" s="538">
        <f t="shared" si="35"/>
        <v>1872969.4877104962</v>
      </c>
      <c r="O103" s="476">
        <f t="shared" si="40"/>
        <v>0</v>
      </c>
      <c r="P103" s="476">
        <f t="shared" si="41"/>
        <v>0</v>
      </c>
    </row>
    <row r="104" spans="1:16">
      <c r="B104" s="160" t="str">
        <f t="shared" si="38"/>
        <v>IU</v>
      </c>
      <c r="C104" s="470">
        <f>IF(D93="","-",+C103+1)</f>
        <v>2014</v>
      </c>
      <c r="D104" s="471">
        <v>10484236</v>
      </c>
      <c r="E104" s="478">
        <v>220309</v>
      </c>
      <c r="F104" s="477">
        <v>10263927</v>
      </c>
      <c r="G104" s="477">
        <v>10374081.5</v>
      </c>
      <c r="H104" s="478">
        <v>1678862.4521722798</v>
      </c>
      <c r="I104" s="479">
        <v>1678862.4521722798</v>
      </c>
      <c r="J104" s="476">
        <v>0</v>
      </c>
      <c r="K104" s="476"/>
      <c r="L104" s="538">
        <f t="shared" si="33"/>
        <v>1678862.4521722798</v>
      </c>
      <c r="M104" s="539">
        <f t="shared" si="39"/>
        <v>0</v>
      </c>
      <c r="N104" s="538">
        <f t="shared" si="35"/>
        <v>1678862.4521722798</v>
      </c>
      <c r="O104" s="476">
        <f t="shared" si="40"/>
        <v>0</v>
      </c>
      <c r="P104" s="476">
        <f t="shared" si="41"/>
        <v>0</v>
      </c>
    </row>
    <row r="105" spans="1:16">
      <c r="B105" s="160" t="str">
        <f t="shared" si="38"/>
        <v/>
      </c>
      <c r="C105" s="470">
        <f>IF(D93="","-",+C104+1)</f>
        <v>2015</v>
      </c>
      <c r="D105" s="471">
        <v>10263927</v>
      </c>
      <c r="E105" s="478">
        <v>220309</v>
      </c>
      <c r="F105" s="477">
        <v>10043618</v>
      </c>
      <c r="G105" s="477">
        <v>10153772.5</v>
      </c>
      <c r="H105" s="478">
        <v>1605709.6172709188</v>
      </c>
      <c r="I105" s="479">
        <v>1605709.6172709188</v>
      </c>
      <c r="J105" s="476">
        <f t="shared" si="32"/>
        <v>0</v>
      </c>
      <c r="K105" s="476"/>
      <c r="L105" s="538">
        <f t="shared" ref="L105:L110" si="42">H105</f>
        <v>1605709.6172709188</v>
      </c>
      <c r="M105" s="539">
        <f t="shared" si="39"/>
        <v>0</v>
      </c>
      <c r="N105" s="538">
        <f t="shared" ref="N105:N110" si="43">I105</f>
        <v>1605709.6172709188</v>
      </c>
      <c r="O105" s="476">
        <f t="shared" si="40"/>
        <v>0</v>
      </c>
      <c r="P105" s="476">
        <f t="shared" si="41"/>
        <v>0</v>
      </c>
    </row>
    <row r="106" spans="1:16">
      <c r="B106" s="160" t="str">
        <f t="shared" si="38"/>
        <v/>
      </c>
      <c r="C106" s="470">
        <f>IF(D93="","-",+C105+1)</f>
        <v>2016</v>
      </c>
      <c r="D106" s="471">
        <v>10043618</v>
      </c>
      <c r="E106" s="478">
        <v>249045</v>
      </c>
      <c r="F106" s="477">
        <v>9794573</v>
      </c>
      <c r="G106" s="477">
        <v>9919095.5</v>
      </c>
      <c r="H106" s="478">
        <v>1527772.6245386968</v>
      </c>
      <c r="I106" s="479">
        <v>1527772.6245386968</v>
      </c>
      <c r="J106" s="476">
        <f t="shared" si="32"/>
        <v>0</v>
      </c>
      <c r="K106" s="476"/>
      <c r="L106" s="538">
        <f t="shared" si="42"/>
        <v>1527772.6245386968</v>
      </c>
      <c r="M106" s="539">
        <f t="shared" si="39"/>
        <v>0</v>
      </c>
      <c r="N106" s="538">
        <f t="shared" si="43"/>
        <v>1527772.6245386968</v>
      </c>
      <c r="O106" s="476">
        <f t="shared" si="40"/>
        <v>0</v>
      </c>
      <c r="P106" s="476">
        <f t="shared" si="41"/>
        <v>0</v>
      </c>
    </row>
    <row r="107" spans="1:16">
      <c r="B107" s="160" t="str">
        <f t="shared" si="38"/>
        <v/>
      </c>
      <c r="C107" s="470">
        <f>IF(D93="","-",+C106+1)</f>
        <v>2017</v>
      </c>
      <c r="D107" s="471">
        <v>9794573</v>
      </c>
      <c r="E107" s="478">
        <v>249045</v>
      </c>
      <c r="F107" s="477">
        <v>9545528</v>
      </c>
      <c r="G107" s="477">
        <v>9670050.5</v>
      </c>
      <c r="H107" s="478">
        <v>1475715.2889659985</v>
      </c>
      <c r="I107" s="479">
        <v>1475715.2889659985</v>
      </c>
      <c r="J107" s="476">
        <f t="shared" si="32"/>
        <v>0</v>
      </c>
      <c r="K107" s="476"/>
      <c r="L107" s="538">
        <f t="shared" si="42"/>
        <v>1475715.2889659985</v>
      </c>
      <c r="M107" s="539">
        <f t="shared" si="39"/>
        <v>0</v>
      </c>
      <c r="N107" s="538">
        <f t="shared" si="43"/>
        <v>1475715.2889659985</v>
      </c>
      <c r="O107" s="476">
        <f t="shared" si="40"/>
        <v>0</v>
      </c>
      <c r="P107" s="476">
        <f t="shared" si="41"/>
        <v>0</v>
      </c>
    </row>
    <row r="108" spans="1:16">
      <c r="B108" s="160" t="str">
        <f t="shared" si="38"/>
        <v/>
      </c>
      <c r="C108" s="470">
        <f>IF(D93="","-",+C107+1)</f>
        <v>2018</v>
      </c>
      <c r="D108" s="471">
        <v>9545528</v>
      </c>
      <c r="E108" s="478">
        <v>266420</v>
      </c>
      <c r="F108" s="477">
        <v>9279108</v>
      </c>
      <c r="G108" s="477">
        <v>9412318</v>
      </c>
      <c r="H108" s="478">
        <v>1233399.824885203</v>
      </c>
      <c r="I108" s="479">
        <v>1233399.824885203</v>
      </c>
      <c r="J108" s="476">
        <f t="shared" si="32"/>
        <v>0</v>
      </c>
      <c r="K108" s="476"/>
      <c r="L108" s="538">
        <f t="shared" si="42"/>
        <v>1233399.824885203</v>
      </c>
      <c r="M108" s="539">
        <f t="shared" ref="M108" si="44">IF(L108&lt;&gt;0,+H108-L108,0)</f>
        <v>0</v>
      </c>
      <c r="N108" s="538">
        <f t="shared" si="43"/>
        <v>1233399.824885203</v>
      </c>
      <c r="O108" s="476">
        <f t="shared" ref="O108" si="45">IF(N108&lt;&gt;0,+I108-N108,0)</f>
        <v>0</v>
      </c>
      <c r="P108" s="476">
        <f t="shared" ref="P108" si="46">+O108-M108</f>
        <v>0</v>
      </c>
    </row>
    <row r="109" spans="1:16">
      <c r="B109" s="160" t="str">
        <f t="shared" si="38"/>
        <v/>
      </c>
      <c r="C109" s="470">
        <f>IF(D93="","-",+C108+1)</f>
        <v>2019</v>
      </c>
      <c r="D109" s="471">
        <v>9279108</v>
      </c>
      <c r="E109" s="478">
        <v>279416</v>
      </c>
      <c r="F109" s="477">
        <v>8999692</v>
      </c>
      <c r="G109" s="477">
        <v>9139400</v>
      </c>
      <c r="H109" s="478">
        <v>1221816.3299613127</v>
      </c>
      <c r="I109" s="479">
        <v>1221816.3299613127</v>
      </c>
      <c r="J109" s="476">
        <f t="shared" si="32"/>
        <v>0</v>
      </c>
      <c r="K109" s="476"/>
      <c r="L109" s="538">
        <f t="shared" si="42"/>
        <v>1221816.3299613127</v>
      </c>
      <c r="M109" s="539">
        <f t="shared" ref="M109:M110" si="47">IF(L109&lt;&gt;0,+H109-L109,0)</f>
        <v>0</v>
      </c>
      <c r="N109" s="538">
        <f t="shared" si="43"/>
        <v>1221816.3299613127</v>
      </c>
      <c r="O109" s="476">
        <f t="shared" si="36"/>
        <v>0</v>
      </c>
      <c r="P109" s="476">
        <f t="shared" si="37"/>
        <v>0</v>
      </c>
    </row>
    <row r="110" spans="1:16">
      <c r="B110" s="160" t="str">
        <f t="shared" si="38"/>
        <v/>
      </c>
      <c r="C110" s="470">
        <f>IF(D93="","-",+C109+1)</f>
        <v>2020</v>
      </c>
      <c r="D110" s="471">
        <v>8999692</v>
      </c>
      <c r="E110" s="478">
        <v>266420</v>
      </c>
      <c r="F110" s="477">
        <v>8733272</v>
      </c>
      <c r="G110" s="477">
        <v>8866482</v>
      </c>
      <c r="H110" s="478">
        <v>1288700.9982176959</v>
      </c>
      <c r="I110" s="479">
        <v>1288700.9982176959</v>
      </c>
      <c r="J110" s="476">
        <f t="shared" si="32"/>
        <v>0</v>
      </c>
      <c r="K110" s="476"/>
      <c r="L110" s="538">
        <f t="shared" si="42"/>
        <v>1288700.9982176959</v>
      </c>
      <c r="M110" s="539">
        <f t="shared" si="47"/>
        <v>0</v>
      </c>
      <c r="N110" s="538">
        <f t="shared" si="43"/>
        <v>1288700.9982176959</v>
      </c>
      <c r="O110" s="476">
        <f t="shared" si="36"/>
        <v>0</v>
      </c>
      <c r="P110" s="476">
        <f t="shared" si="37"/>
        <v>0</v>
      </c>
    </row>
    <row r="111" spans="1:16">
      <c r="B111" s="160" t="str">
        <f t="shared" si="38"/>
        <v/>
      </c>
      <c r="C111" s="470">
        <f>IF(D93="","-",+C110+1)</f>
        <v>2021</v>
      </c>
      <c r="D111" s="471">
        <v>8733272</v>
      </c>
      <c r="E111" s="478">
        <v>279416</v>
      </c>
      <c r="F111" s="477">
        <v>8453856</v>
      </c>
      <c r="G111" s="477">
        <v>8593564</v>
      </c>
      <c r="H111" s="478">
        <v>1257301.6496546383</v>
      </c>
      <c r="I111" s="479">
        <v>1257301.6496546383</v>
      </c>
      <c r="J111" s="476">
        <f t="shared" si="32"/>
        <v>0</v>
      </c>
      <c r="K111" s="476"/>
      <c r="L111" s="538">
        <f t="shared" ref="L111" si="48">H111</f>
        <v>1257301.6496546383</v>
      </c>
      <c r="M111" s="539">
        <f t="shared" ref="M111" si="49">IF(L111&lt;&gt;0,+H111-L111,0)</f>
        <v>0</v>
      </c>
      <c r="N111" s="538">
        <f t="shared" ref="N111" si="50">I111</f>
        <v>1257301.6496546383</v>
      </c>
      <c r="O111" s="476">
        <f t="shared" ref="O111" si="51">IF(N111&lt;&gt;0,+I111-N111,0)</f>
        <v>0</v>
      </c>
      <c r="P111" s="476">
        <f t="shared" ref="P111" si="52">+O111-M111</f>
        <v>0</v>
      </c>
    </row>
    <row r="112" spans="1:16">
      <c r="B112" s="160" t="str">
        <f t="shared" si="38"/>
        <v/>
      </c>
      <c r="C112" s="631">
        <f>IF(D93="","-",+C111+1)</f>
        <v>2022</v>
      </c>
      <c r="D112" s="345">
        <v>8453856</v>
      </c>
      <c r="E112" s="484">
        <v>293745</v>
      </c>
      <c r="F112" s="483">
        <v>8160111</v>
      </c>
      <c r="G112" s="483">
        <v>8306983.5</v>
      </c>
      <c r="H112" s="486">
        <v>1209030.4794242503</v>
      </c>
      <c r="I112" s="540">
        <v>1209030.4794242503</v>
      </c>
      <c r="J112" s="476">
        <f t="shared" si="32"/>
        <v>0</v>
      </c>
      <c r="K112" s="476"/>
      <c r="L112" s="485"/>
      <c r="M112" s="476">
        <f t="shared" si="34"/>
        <v>0</v>
      </c>
      <c r="N112" s="485"/>
      <c r="O112" s="476">
        <f t="shared" si="36"/>
        <v>0</v>
      </c>
      <c r="P112" s="476">
        <f t="shared" si="37"/>
        <v>0</v>
      </c>
    </row>
    <row r="113" spans="2:16">
      <c r="B113" s="160" t="str">
        <f t="shared" si="38"/>
        <v/>
      </c>
      <c r="C113" s="470">
        <f>IF(D93="","-",+C112+1)</f>
        <v>2023</v>
      </c>
      <c r="D113" s="345">
        <f>IF(F112+SUM(E$99:E112)=D$92,F112,D$92-SUM(E$99:E112))</f>
        <v>8160111</v>
      </c>
      <c r="E113" s="484">
        <f>IF(+J96&lt;F112,J96,D113)</f>
        <v>279416</v>
      </c>
      <c r="F113" s="483">
        <f t="shared" ref="F113:F130" si="53">+D113-E113</f>
        <v>7880695</v>
      </c>
      <c r="G113" s="483">
        <f t="shared" ref="G113:G130" si="54">+(F113+D113)/2</f>
        <v>8020403</v>
      </c>
      <c r="H113" s="486">
        <f t="shared" ref="H113:H154" si="55">+J$94*G113+E113</f>
        <v>1192080.0586079312</v>
      </c>
      <c r="I113" s="540">
        <f t="shared" ref="I113:I154" si="56">+J$95*G113+E113</f>
        <v>1192080.0586079312</v>
      </c>
      <c r="J113" s="476">
        <f t="shared" si="32"/>
        <v>0</v>
      </c>
      <c r="K113" s="476"/>
      <c r="L113" s="485"/>
      <c r="M113" s="476">
        <f t="shared" si="34"/>
        <v>0</v>
      </c>
      <c r="N113" s="485"/>
      <c r="O113" s="476">
        <f t="shared" si="36"/>
        <v>0</v>
      </c>
      <c r="P113" s="476">
        <f t="shared" si="37"/>
        <v>0</v>
      </c>
    </row>
    <row r="114" spans="2:16">
      <c r="B114" s="160" t="str">
        <f t="shared" si="38"/>
        <v/>
      </c>
      <c r="C114" s="470">
        <f>IF(D93="","-",+C113+1)</f>
        <v>2024</v>
      </c>
      <c r="D114" s="345">
        <f>IF(F113+SUM(E$99:E113)=D$92,F113,D$92-SUM(E$99:E113))</f>
        <v>7880695</v>
      </c>
      <c r="E114" s="484">
        <f>IF(+J96&lt;F113,J96,D114)</f>
        <v>279416</v>
      </c>
      <c r="F114" s="483">
        <f t="shared" si="53"/>
        <v>7601279</v>
      </c>
      <c r="G114" s="483">
        <f t="shared" si="54"/>
        <v>7740987</v>
      </c>
      <c r="H114" s="486">
        <f t="shared" si="55"/>
        <v>1160284.5315502519</v>
      </c>
      <c r="I114" s="540">
        <f t="shared" si="56"/>
        <v>1160284.5315502519</v>
      </c>
      <c r="J114" s="476">
        <f t="shared" si="32"/>
        <v>0</v>
      </c>
      <c r="K114" s="476"/>
      <c r="L114" s="485"/>
      <c r="M114" s="476">
        <f t="shared" si="34"/>
        <v>0</v>
      </c>
      <c r="N114" s="485"/>
      <c r="O114" s="476">
        <f t="shared" si="36"/>
        <v>0</v>
      </c>
      <c r="P114" s="476">
        <f t="shared" si="37"/>
        <v>0</v>
      </c>
    </row>
    <row r="115" spans="2:16">
      <c r="B115" s="160" t="str">
        <f t="shared" si="38"/>
        <v/>
      </c>
      <c r="C115" s="470">
        <f>IF(D93="","-",+C114+1)</f>
        <v>2025</v>
      </c>
      <c r="D115" s="345">
        <f>IF(F114+SUM(E$99:E114)=D$92,F114,D$92-SUM(E$99:E114))</f>
        <v>7601279</v>
      </c>
      <c r="E115" s="484">
        <f>IF(+J96&lt;F114,J96,D115)</f>
        <v>279416</v>
      </c>
      <c r="F115" s="483">
        <f t="shared" si="53"/>
        <v>7321863</v>
      </c>
      <c r="G115" s="483">
        <f t="shared" si="54"/>
        <v>7461571</v>
      </c>
      <c r="H115" s="486">
        <f t="shared" si="55"/>
        <v>1128489.0044925725</v>
      </c>
      <c r="I115" s="540">
        <f t="shared" si="56"/>
        <v>1128489.0044925725</v>
      </c>
      <c r="J115" s="476">
        <f t="shared" si="32"/>
        <v>0</v>
      </c>
      <c r="K115" s="476"/>
      <c r="L115" s="485"/>
      <c r="M115" s="476">
        <f t="shared" si="34"/>
        <v>0</v>
      </c>
      <c r="N115" s="485"/>
      <c r="O115" s="476">
        <f t="shared" si="36"/>
        <v>0</v>
      </c>
      <c r="P115" s="476">
        <f t="shared" si="37"/>
        <v>0</v>
      </c>
    </row>
    <row r="116" spans="2:16">
      <c r="B116" s="160" t="str">
        <f t="shared" si="38"/>
        <v/>
      </c>
      <c r="C116" s="470">
        <f>IF(D93="","-",+C115+1)</f>
        <v>2026</v>
      </c>
      <c r="D116" s="345">
        <f>IF(F115+SUM(E$99:E115)=D$92,F115,D$92-SUM(E$99:E115))</f>
        <v>7321863</v>
      </c>
      <c r="E116" s="484">
        <f>IF(+J96&lt;F115,J96,D116)</f>
        <v>279416</v>
      </c>
      <c r="F116" s="483">
        <f t="shared" si="53"/>
        <v>7042447</v>
      </c>
      <c r="G116" s="483">
        <f t="shared" si="54"/>
        <v>7182155</v>
      </c>
      <c r="H116" s="486">
        <f t="shared" si="55"/>
        <v>1096693.4774348929</v>
      </c>
      <c r="I116" s="540">
        <f t="shared" si="56"/>
        <v>1096693.4774348929</v>
      </c>
      <c r="J116" s="476">
        <f t="shared" si="32"/>
        <v>0</v>
      </c>
      <c r="K116" s="476"/>
      <c r="L116" s="485"/>
      <c r="M116" s="476">
        <f t="shared" si="34"/>
        <v>0</v>
      </c>
      <c r="N116" s="485"/>
      <c r="O116" s="476">
        <f t="shared" si="36"/>
        <v>0</v>
      </c>
      <c r="P116" s="476">
        <f t="shared" si="37"/>
        <v>0</v>
      </c>
    </row>
    <row r="117" spans="2:16">
      <c r="B117" s="160" t="str">
        <f t="shared" si="38"/>
        <v/>
      </c>
      <c r="C117" s="470">
        <f>IF(D93="","-",+C116+1)</f>
        <v>2027</v>
      </c>
      <c r="D117" s="345">
        <f>IF(F116+SUM(E$99:E116)=D$92,F116,D$92-SUM(E$99:E116))</f>
        <v>7042447</v>
      </c>
      <c r="E117" s="484">
        <f>IF(+J96&lt;F116,J96,D117)</f>
        <v>279416</v>
      </c>
      <c r="F117" s="483">
        <f t="shared" si="53"/>
        <v>6763031</v>
      </c>
      <c r="G117" s="483">
        <f t="shared" si="54"/>
        <v>6902739</v>
      </c>
      <c r="H117" s="486">
        <f t="shared" si="55"/>
        <v>1064897.9503772133</v>
      </c>
      <c r="I117" s="540">
        <f t="shared" si="56"/>
        <v>1064897.9503772133</v>
      </c>
      <c r="J117" s="476">
        <f t="shared" si="32"/>
        <v>0</v>
      </c>
      <c r="K117" s="476"/>
      <c r="L117" s="485"/>
      <c r="M117" s="476">
        <f t="shared" si="34"/>
        <v>0</v>
      </c>
      <c r="N117" s="485"/>
      <c r="O117" s="476">
        <f t="shared" si="36"/>
        <v>0</v>
      </c>
      <c r="P117" s="476">
        <f t="shared" si="37"/>
        <v>0</v>
      </c>
    </row>
    <row r="118" spans="2:16">
      <c r="B118" s="160" t="str">
        <f t="shared" si="38"/>
        <v/>
      </c>
      <c r="C118" s="470">
        <f>IF(D93="","-",+C117+1)</f>
        <v>2028</v>
      </c>
      <c r="D118" s="345">
        <f>IF(F117+SUM(E$99:E117)=D$92,F117,D$92-SUM(E$99:E117))</f>
        <v>6763031</v>
      </c>
      <c r="E118" s="484">
        <f>IF(+J96&lt;F117,J96,D118)</f>
        <v>279416</v>
      </c>
      <c r="F118" s="483">
        <f t="shared" si="53"/>
        <v>6483615</v>
      </c>
      <c r="G118" s="483">
        <f t="shared" si="54"/>
        <v>6623323</v>
      </c>
      <c r="H118" s="486">
        <f t="shared" si="55"/>
        <v>1033102.4233195339</v>
      </c>
      <c r="I118" s="540">
        <f t="shared" si="56"/>
        <v>1033102.4233195339</v>
      </c>
      <c r="J118" s="476">
        <f t="shared" si="32"/>
        <v>0</v>
      </c>
      <c r="K118" s="476"/>
      <c r="L118" s="485"/>
      <c r="M118" s="476">
        <f t="shared" si="34"/>
        <v>0</v>
      </c>
      <c r="N118" s="485"/>
      <c r="O118" s="476">
        <f t="shared" si="36"/>
        <v>0</v>
      </c>
      <c r="P118" s="476">
        <f t="shared" si="37"/>
        <v>0</v>
      </c>
    </row>
    <row r="119" spans="2:16">
      <c r="B119" s="160" t="str">
        <f t="shared" si="38"/>
        <v/>
      </c>
      <c r="C119" s="470">
        <f>IF(D93="","-",+C118+1)</f>
        <v>2029</v>
      </c>
      <c r="D119" s="345">
        <f>IF(F118+SUM(E$99:E118)=D$92,F118,D$92-SUM(E$99:E118))</f>
        <v>6483615</v>
      </c>
      <c r="E119" s="484">
        <f>IF(+J96&lt;F118,J96,D119)</f>
        <v>279416</v>
      </c>
      <c r="F119" s="483">
        <f t="shared" si="53"/>
        <v>6204199</v>
      </c>
      <c r="G119" s="483">
        <f t="shared" si="54"/>
        <v>6343907</v>
      </c>
      <c r="H119" s="486">
        <f t="shared" si="55"/>
        <v>1001306.8962618544</v>
      </c>
      <c r="I119" s="540">
        <f t="shared" si="56"/>
        <v>1001306.8962618544</v>
      </c>
      <c r="J119" s="476">
        <f t="shared" si="32"/>
        <v>0</v>
      </c>
      <c r="K119" s="476"/>
      <c r="L119" s="485"/>
      <c r="M119" s="476">
        <f t="shared" si="34"/>
        <v>0</v>
      </c>
      <c r="N119" s="485"/>
      <c r="O119" s="476">
        <f t="shared" si="36"/>
        <v>0</v>
      </c>
      <c r="P119" s="476">
        <f t="shared" si="37"/>
        <v>0</v>
      </c>
    </row>
    <row r="120" spans="2:16">
      <c r="B120" s="160" t="str">
        <f t="shared" si="38"/>
        <v/>
      </c>
      <c r="C120" s="470">
        <f>IF(D93="","-",+C119+1)</f>
        <v>2030</v>
      </c>
      <c r="D120" s="345">
        <f>IF(F119+SUM(E$99:E119)=D$92,F119,D$92-SUM(E$99:E119))</f>
        <v>6204199</v>
      </c>
      <c r="E120" s="484">
        <f>IF(+J96&lt;F119,J96,D120)</f>
        <v>279416</v>
      </c>
      <c r="F120" s="483">
        <f t="shared" si="53"/>
        <v>5924783</v>
      </c>
      <c r="G120" s="483">
        <f t="shared" si="54"/>
        <v>6064491</v>
      </c>
      <c r="H120" s="486">
        <f t="shared" si="55"/>
        <v>969511.36920417496</v>
      </c>
      <c r="I120" s="540">
        <f t="shared" si="56"/>
        <v>969511.36920417496</v>
      </c>
      <c r="J120" s="476">
        <f t="shared" si="32"/>
        <v>0</v>
      </c>
      <c r="K120" s="476"/>
      <c r="L120" s="485"/>
      <c r="M120" s="476">
        <f t="shared" si="34"/>
        <v>0</v>
      </c>
      <c r="N120" s="485"/>
      <c r="O120" s="476">
        <f t="shared" si="36"/>
        <v>0</v>
      </c>
      <c r="P120" s="476">
        <f t="shared" si="37"/>
        <v>0</v>
      </c>
    </row>
    <row r="121" spans="2:16">
      <c r="B121" s="160" t="str">
        <f t="shared" si="38"/>
        <v/>
      </c>
      <c r="C121" s="470">
        <f>IF(D93="","-",+C120+1)</f>
        <v>2031</v>
      </c>
      <c r="D121" s="345">
        <f>IF(F120+SUM(E$99:E120)=D$92,F120,D$92-SUM(E$99:E120))</f>
        <v>5924783</v>
      </c>
      <c r="E121" s="484">
        <f>IF(+J96&lt;F120,J96,D121)</f>
        <v>279416</v>
      </c>
      <c r="F121" s="483">
        <f t="shared" si="53"/>
        <v>5645367</v>
      </c>
      <c r="G121" s="483">
        <f t="shared" si="54"/>
        <v>5785075</v>
      </c>
      <c r="H121" s="486">
        <f t="shared" si="55"/>
        <v>937715.84214649547</v>
      </c>
      <c r="I121" s="540">
        <f t="shared" si="56"/>
        <v>937715.84214649547</v>
      </c>
      <c r="J121" s="476">
        <f t="shared" si="32"/>
        <v>0</v>
      </c>
      <c r="K121" s="476"/>
      <c r="L121" s="485"/>
      <c r="M121" s="476">
        <f t="shared" si="34"/>
        <v>0</v>
      </c>
      <c r="N121" s="485"/>
      <c r="O121" s="476">
        <f t="shared" si="36"/>
        <v>0</v>
      </c>
      <c r="P121" s="476">
        <f t="shared" si="37"/>
        <v>0</v>
      </c>
    </row>
    <row r="122" spans="2:16">
      <c r="B122" s="160" t="str">
        <f t="shared" si="38"/>
        <v/>
      </c>
      <c r="C122" s="470">
        <f>IF(D93="","-",+C121+1)</f>
        <v>2032</v>
      </c>
      <c r="D122" s="345">
        <f>IF(F121+SUM(E$99:E121)=D$92,F121,D$92-SUM(E$99:E121))</f>
        <v>5645367</v>
      </c>
      <c r="E122" s="484">
        <f>IF(+J96&lt;F121,J96,D122)</f>
        <v>279416</v>
      </c>
      <c r="F122" s="483">
        <f t="shared" si="53"/>
        <v>5365951</v>
      </c>
      <c r="G122" s="483">
        <f t="shared" si="54"/>
        <v>5505659</v>
      </c>
      <c r="H122" s="486">
        <f t="shared" si="55"/>
        <v>905920.31508881599</v>
      </c>
      <c r="I122" s="540">
        <f t="shared" si="56"/>
        <v>905920.31508881599</v>
      </c>
      <c r="J122" s="476">
        <f t="shared" si="32"/>
        <v>0</v>
      </c>
      <c r="K122" s="476"/>
      <c r="L122" s="485"/>
      <c r="M122" s="476">
        <f t="shared" si="34"/>
        <v>0</v>
      </c>
      <c r="N122" s="485"/>
      <c r="O122" s="476">
        <f t="shared" si="36"/>
        <v>0</v>
      </c>
      <c r="P122" s="476">
        <f t="shared" si="37"/>
        <v>0</v>
      </c>
    </row>
    <row r="123" spans="2:16">
      <c r="B123" s="160" t="str">
        <f t="shared" si="38"/>
        <v/>
      </c>
      <c r="C123" s="470">
        <f>IF(D93="","-",+C122+1)</f>
        <v>2033</v>
      </c>
      <c r="D123" s="345">
        <f>IF(F122+SUM(E$99:E122)=D$92,F122,D$92-SUM(E$99:E122))</f>
        <v>5365951</v>
      </c>
      <c r="E123" s="484">
        <f>IF(+J96&lt;F122,J96,D123)</f>
        <v>279416</v>
      </c>
      <c r="F123" s="483">
        <f t="shared" si="53"/>
        <v>5086535</v>
      </c>
      <c r="G123" s="483">
        <f t="shared" si="54"/>
        <v>5226243</v>
      </c>
      <c r="H123" s="486">
        <f t="shared" si="55"/>
        <v>874124.7880311365</v>
      </c>
      <c r="I123" s="540">
        <f t="shared" si="56"/>
        <v>874124.7880311365</v>
      </c>
      <c r="J123" s="476">
        <f t="shared" si="32"/>
        <v>0</v>
      </c>
      <c r="K123" s="476"/>
      <c r="L123" s="485"/>
      <c r="M123" s="476">
        <f t="shared" si="34"/>
        <v>0</v>
      </c>
      <c r="N123" s="485"/>
      <c r="O123" s="476">
        <f t="shared" si="36"/>
        <v>0</v>
      </c>
      <c r="P123" s="476">
        <f t="shared" si="37"/>
        <v>0</v>
      </c>
    </row>
    <row r="124" spans="2:16">
      <c r="B124" s="160" t="str">
        <f t="shared" si="38"/>
        <v/>
      </c>
      <c r="C124" s="470">
        <f>IF(D93="","-",+C123+1)</f>
        <v>2034</v>
      </c>
      <c r="D124" s="345">
        <f>IF(F123+SUM(E$99:E123)=D$92,F123,D$92-SUM(E$99:E123))</f>
        <v>5086535</v>
      </c>
      <c r="E124" s="484">
        <f>IF(+J96&lt;F123,J96,D124)</f>
        <v>279416</v>
      </c>
      <c r="F124" s="483">
        <f t="shared" si="53"/>
        <v>4807119</v>
      </c>
      <c r="G124" s="483">
        <f t="shared" si="54"/>
        <v>4946827</v>
      </c>
      <c r="H124" s="486">
        <f t="shared" si="55"/>
        <v>842329.26097345701</v>
      </c>
      <c r="I124" s="540">
        <f t="shared" si="56"/>
        <v>842329.26097345701</v>
      </c>
      <c r="J124" s="476">
        <f t="shared" si="32"/>
        <v>0</v>
      </c>
      <c r="K124" s="476"/>
      <c r="L124" s="485"/>
      <c r="M124" s="476">
        <f t="shared" si="34"/>
        <v>0</v>
      </c>
      <c r="N124" s="485"/>
      <c r="O124" s="476">
        <f t="shared" si="36"/>
        <v>0</v>
      </c>
      <c r="P124" s="476">
        <f t="shared" si="37"/>
        <v>0</v>
      </c>
    </row>
    <row r="125" spans="2:16">
      <c r="B125" s="160" t="str">
        <f t="shared" si="38"/>
        <v/>
      </c>
      <c r="C125" s="470">
        <f>IF(D93="","-",+C124+1)</f>
        <v>2035</v>
      </c>
      <c r="D125" s="345">
        <f>IF(F124+SUM(E$99:E124)=D$92,F124,D$92-SUM(E$99:E124))</f>
        <v>4807119</v>
      </c>
      <c r="E125" s="484">
        <f>IF(+J96&lt;F124,J96,D125)</f>
        <v>279416</v>
      </c>
      <c r="F125" s="483">
        <f t="shared" si="53"/>
        <v>4527703</v>
      </c>
      <c r="G125" s="483">
        <f t="shared" si="54"/>
        <v>4667411</v>
      </c>
      <c r="H125" s="486">
        <f t="shared" si="55"/>
        <v>810533.73391577753</v>
      </c>
      <c r="I125" s="540">
        <f t="shared" si="56"/>
        <v>810533.73391577753</v>
      </c>
      <c r="J125" s="476">
        <f t="shared" si="32"/>
        <v>0</v>
      </c>
      <c r="K125" s="476"/>
      <c r="L125" s="485"/>
      <c r="M125" s="476">
        <f t="shared" si="34"/>
        <v>0</v>
      </c>
      <c r="N125" s="485"/>
      <c r="O125" s="476">
        <f t="shared" si="36"/>
        <v>0</v>
      </c>
      <c r="P125" s="476">
        <f t="shared" si="37"/>
        <v>0</v>
      </c>
    </row>
    <row r="126" spans="2:16">
      <c r="B126" s="160" t="str">
        <f t="shared" si="38"/>
        <v/>
      </c>
      <c r="C126" s="470">
        <f>IF(D93="","-",+C125+1)</f>
        <v>2036</v>
      </c>
      <c r="D126" s="345">
        <f>IF(F125+SUM(E$99:E125)=D$92,F125,D$92-SUM(E$99:E125))</f>
        <v>4527703</v>
      </c>
      <c r="E126" s="484">
        <f>IF(+J96&lt;F125,J96,D126)</f>
        <v>279416</v>
      </c>
      <c r="F126" s="483">
        <f t="shared" si="53"/>
        <v>4248287</v>
      </c>
      <c r="G126" s="483">
        <f t="shared" si="54"/>
        <v>4387995</v>
      </c>
      <c r="H126" s="486">
        <f t="shared" si="55"/>
        <v>778738.20685809804</v>
      </c>
      <c r="I126" s="540">
        <f t="shared" si="56"/>
        <v>778738.20685809804</v>
      </c>
      <c r="J126" s="476">
        <f t="shared" si="32"/>
        <v>0</v>
      </c>
      <c r="K126" s="476"/>
      <c r="L126" s="485"/>
      <c r="M126" s="476">
        <f t="shared" si="34"/>
        <v>0</v>
      </c>
      <c r="N126" s="485"/>
      <c r="O126" s="476">
        <f t="shared" si="36"/>
        <v>0</v>
      </c>
      <c r="P126" s="476">
        <f t="shared" si="37"/>
        <v>0</v>
      </c>
    </row>
    <row r="127" spans="2:16">
      <c r="B127" s="160" t="str">
        <f t="shared" si="38"/>
        <v/>
      </c>
      <c r="C127" s="470">
        <f>IF(D93="","-",+C126+1)</f>
        <v>2037</v>
      </c>
      <c r="D127" s="345">
        <f>IF(F126+SUM(E$99:E126)=D$92,F126,D$92-SUM(E$99:E126))</f>
        <v>4248287</v>
      </c>
      <c r="E127" s="484">
        <f>IF(+J96&lt;F126,J96,D127)</f>
        <v>279416</v>
      </c>
      <c r="F127" s="483">
        <f t="shared" si="53"/>
        <v>3968871</v>
      </c>
      <c r="G127" s="483">
        <f t="shared" si="54"/>
        <v>4108579</v>
      </c>
      <c r="H127" s="486">
        <f t="shared" si="55"/>
        <v>746942.67980041855</v>
      </c>
      <c r="I127" s="540">
        <f t="shared" si="56"/>
        <v>746942.67980041855</v>
      </c>
      <c r="J127" s="476">
        <f t="shared" si="32"/>
        <v>0</v>
      </c>
      <c r="K127" s="476"/>
      <c r="L127" s="485"/>
      <c r="M127" s="476">
        <f t="shared" si="34"/>
        <v>0</v>
      </c>
      <c r="N127" s="485"/>
      <c r="O127" s="476">
        <f t="shared" si="36"/>
        <v>0</v>
      </c>
      <c r="P127" s="476">
        <f t="shared" si="37"/>
        <v>0</v>
      </c>
    </row>
    <row r="128" spans="2:16">
      <c r="B128" s="160" t="str">
        <f t="shared" si="38"/>
        <v/>
      </c>
      <c r="C128" s="470">
        <f>IF(D93="","-",+C127+1)</f>
        <v>2038</v>
      </c>
      <c r="D128" s="345">
        <f>IF(F127+SUM(E$99:E127)=D$92,F127,D$92-SUM(E$99:E127))</f>
        <v>3968871</v>
      </c>
      <c r="E128" s="484">
        <f>IF(+J96&lt;F127,J96,D128)</f>
        <v>279416</v>
      </c>
      <c r="F128" s="483">
        <f t="shared" si="53"/>
        <v>3689455</v>
      </c>
      <c r="G128" s="483">
        <f t="shared" si="54"/>
        <v>3829163</v>
      </c>
      <c r="H128" s="486">
        <f t="shared" si="55"/>
        <v>715147.15274273907</v>
      </c>
      <c r="I128" s="540">
        <f t="shared" si="56"/>
        <v>715147.15274273907</v>
      </c>
      <c r="J128" s="476">
        <f t="shared" si="32"/>
        <v>0</v>
      </c>
      <c r="K128" s="476"/>
      <c r="L128" s="485"/>
      <c r="M128" s="476">
        <f t="shared" si="34"/>
        <v>0</v>
      </c>
      <c r="N128" s="485"/>
      <c r="O128" s="476">
        <f t="shared" si="36"/>
        <v>0</v>
      </c>
      <c r="P128" s="476">
        <f t="shared" si="37"/>
        <v>0</v>
      </c>
    </row>
    <row r="129" spans="2:16">
      <c r="B129" s="160" t="str">
        <f t="shared" si="38"/>
        <v/>
      </c>
      <c r="C129" s="470">
        <f>IF(D93="","-",+C128+1)</f>
        <v>2039</v>
      </c>
      <c r="D129" s="345">
        <f>IF(F128+SUM(E$99:E128)=D$92,F128,D$92-SUM(E$99:E128))</f>
        <v>3689455</v>
      </c>
      <c r="E129" s="484">
        <f>IF(+J96&lt;F128,J96,D129)</f>
        <v>279416</v>
      </c>
      <c r="F129" s="483">
        <f t="shared" si="53"/>
        <v>3410039</v>
      </c>
      <c r="G129" s="483">
        <f t="shared" si="54"/>
        <v>3549747</v>
      </c>
      <c r="H129" s="486">
        <f t="shared" si="55"/>
        <v>683351.62568505958</v>
      </c>
      <c r="I129" s="540">
        <f t="shared" si="56"/>
        <v>683351.62568505958</v>
      </c>
      <c r="J129" s="476">
        <f t="shared" si="32"/>
        <v>0</v>
      </c>
      <c r="K129" s="476"/>
      <c r="L129" s="485"/>
      <c r="M129" s="476">
        <f t="shared" si="34"/>
        <v>0</v>
      </c>
      <c r="N129" s="485"/>
      <c r="O129" s="476">
        <f t="shared" si="36"/>
        <v>0</v>
      </c>
      <c r="P129" s="476">
        <f t="shared" si="37"/>
        <v>0</v>
      </c>
    </row>
    <row r="130" spans="2:16">
      <c r="B130" s="160" t="str">
        <f t="shared" si="38"/>
        <v/>
      </c>
      <c r="C130" s="470">
        <f>IF(D93="","-",+C129+1)</f>
        <v>2040</v>
      </c>
      <c r="D130" s="345">
        <f>IF(F129+SUM(E$99:E129)=D$92,F129,D$92-SUM(E$99:E129))</f>
        <v>3410039</v>
      </c>
      <c r="E130" s="484">
        <f>IF(+J96&lt;F129,J96,D130)</f>
        <v>279416</v>
      </c>
      <c r="F130" s="483">
        <f t="shared" si="53"/>
        <v>3130623</v>
      </c>
      <c r="G130" s="483">
        <f t="shared" si="54"/>
        <v>3270331</v>
      </c>
      <c r="H130" s="486">
        <f t="shared" si="55"/>
        <v>651556.0986273801</v>
      </c>
      <c r="I130" s="540">
        <f t="shared" si="56"/>
        <v>651556.0986273801</v>
      </c>
      <c r="J130" s="476">
        <f t="shared" si="32"/>
        <v>0</v>
      </c>
      <c r="K130" s="476"/>
      <c r="L130" s="485"/>
      <c r="M130" s="476">
        <f t="shared" si="34"/>
        <v>0</v>
      </c>
      <c r="N130" s="485"/>
      <c r="O130" s="476">
        <f t="shared" si="36"/>
        <v>0</v>
      </c>
      <c r="P130" s="476">
        <f t="shared" si="37"/>
        <v>0</v>
      </c>
    </row>
    <row r="131" spans="2:16">
      <c r="B131" s="160" t="str">
        <f t="shared" si="38"/>
        <v/>
      </c>
      <c r="C131" s="470">
        <f>IF(D93="","-",+C130+1)</f>
        <v>2041</v>
      </c>
      <c r="D131" s="345">
        <f>IF(F130+SUM(E$99:E130)=D$92,F130,D$92-SUM(E$99:E130))</f>
        <v>3130623</v>
      </c>
      <c r="E131" s="484">
        <f>IF(+J96&lt;F130,J96,D131)</f>
        <v>279416</v>
      </c>
      <c r="F131" s="483">
        <f t="shared" ref="F131:F154" si="57">+D131-E131</f>
        <v>2851207</v>
      </c>
      <c r="G131" s="483">
        <f t="shared" ref="G131:G154" si="58">+(F131+D131)/2</f>
        <v>2990915</v>
      </c>
      <c r="H131" s="486">
        <f t="shared" si="55"/>
        <v>619760.57156970049</v>
      </c>
      <c r="I131" s="540">
        <f t="shared" si="56"/>
        <v>619760.57156970049</v>
      </c>
      <c r="J131" s="476">
        <f t="shared" ref="J131:J154" si="59">+I131-H131</f>
        <v>0</v>
      </c>
      <c r="K131" s="476"/>
      <c r="L131" s="485"/>
      <c r="M131" s="476">
        <f t="shared" ref="M131:M154" si="60">IF(L131&lt;&gt;0,+H131-L131,0)</f>
        <v>0</v>
      </c>
      <c r="N131" s="485"/>
      <c r="O131" s="476">
        <f t="shared" ref="O131:O154" si="61">IF(N131&lt;&gt;0,+I131-N131,0)</f>
        <v>0</v>
      </c>
      <c r="P131" s="476">
        <f t="shared" ref="P131:P154" si="62">+O131-M131</f>
        <v>0</v>
      </c>
    </row>
    <row r="132" spans="2:16">
      <c r="B132" s="160" t="str">
        <f t="shared" si="38"/>
        <v/>
      </c>
      <c r="C132" s="470">
        <f>IF(D93="","-",+C131+1)</f>
        <v>2042</v>
      </c>
      <c r="D132" s="345">
        <f>IF(F131+SUM(E$99:E131)=D$92,F131,D$92-SUM(E$99:E131))</f>
        <v>2851207</v>
      </c>
      <c r="E132" s="484">
        <f>IF(+J96&lt;F131,J96,D132)</f>
        <v>279416</v>
      </c>
      <c r="F132" s="483">
        <f t="shared" si="57"/>
        <v>2571791</v>
      </c>
      <c r="G132" s="483">
        <f t="shared" si="58"/>
        <v>2711499</v>
      </c>
      <c r="H132" s="486">
        <f t="shared" si="55"/>
        <v>587965.04451202112</v>
      </c>
      <c r="I132" s="540">
        <f t="shared" si="56"/>
        <v>587965.04451202112</v>
      </c>
      <c r="J132" s="476">
        <f t="shared" si="59"/>
        <v>0</v>
      </c>
      <c r="K132" s="476"/>
      <c r="L132" s="485"/>
      <c r="M132" s="476">
        <f t="shared" si="60"/>
        <v>0</v>
      </c>
      <c r="N132" s="485"/>
      <c r="O132" s="476">
        <f t="shared" si="61"/>
        <v>0</v>
      </c>
      <c r="P132" s="476">
        <f t="shared" si="62"/>
        <v>0</v>
      </c>
    </row>
    <row r="133" spans="2:16">
      <c r="B133" s="160" t="str">
        <f t="shared" si="38"/>
        <v/>
      </c>
      <c r="C133" s="470">
        <f>IF(D93="","-",+C132+1)</f>
        <v>2043</v>
      </c>
      <c r="D133" s="345">
        <f>IF(F132+SUM(E$99:E132)=D$92,F132,D$92-SUM(E$99:E132))</f>
        <v>2571791</v>
      </c>
      <c r="E133" s="484">
        <f>IF(+J96&lt;F132,J96,D133)</f>
        <v>279416</v>
      </c>
      <c r="F133" s="483">
        <f t="shared" si="57"/>
        <v>2292375</v>
      </c>
      <c r="G133" s="483">
        <f t="shared" si="58"/>
        <v>2432083</v>
      </c>
      <c r="H133" s="486">
        <f t="shared" si="55"/>
        <v>556169.51745434152</v>
      </c>
      <c r="I133" s="540">
        <f t="shared" si="56"/>
        <v>556169.51745434152</v>
      </c>
      <c r="J133" s="476">
        <f t="shared" si="59"/>
        <v>0</v>
      </c>
      <c r="K133" s="476"/>
      <c r="L133" s="485"/>
      <c r="M133" s="476">
        <f t="shared" si="60"/>
        <v>0</v>
      </c>
      <c r="N133" s="485"/>
      <c r="O133" s="476">
        <f t="shared" si="61"/>
        <v>0</v>
      </c>
      <c r="P133" s="476">
        <f t="shared" si="62"/>
        <v>0</v>
      </c>
    </row>
    <row r="134" spans="2:16">
      <c r="B134" s="160" t="str">
        <f t="shared" si="38"/>
        <v/>
      </c>
      <c r="C134" s="470">
        <f>IF(D93="","-",+C133+1)</f>
        <v>2044</v>
      </c>
      <c r="D134" s="345">
        <f>IF(F133+SUM(E$99:E133)=D$92,F133,D$92-SUM(E$99:E133))</f>
        <v>2292375</v>
      </c>
      <c r="E134" s="484">
        <f>IF(+J96&lt;F133,J96,D134)</f>
        <v>279416</v>
      </c>
      <c r="F134" s="483">
        <f t="shared" si="57"/>
        <v>2012959</v>
      </c>
      <c r="G134" s="483">
        <f t="shared" si="58"/>
        <v>2152667</v>
      </c>
      <c r="H134" s="486">
        <f t="shared" si="55"/>
        <v>524373.99039666215</v>
      </c>
      <c r="I134" s="540">
        <f t="shared" si="56"/>
        <v>524373.99039666215</v>
      </c>
      <c r="J134" s="476">
        <f t="shared" si="59"/>
        <v>0</v>
      </c>
      <c r="K134" s="476"/>
      <c r="L134" s="485"/>
      <c r="M134" s="476">
        <f t="shared" si="60"/>
        <v>0</v>
      </c>
      <c r="N134" s="485"/>
      <c r="O134" s="476">
        <f t="shared" si="61"/>
        <v>0</v>
      </c>
      <c r="P134" s="476">
        <f t="shared" si="62"/>
        <v>0</v>
      </c>
    </row>
    <row r="135" spans="2:16">
      <c r="B135" s="160" t="str">
        <f t="shared" si="38"/>
        <v/>
      </c>
      <c r="C135" s="470">
        <f>IF(D93="","-",+C134+1)</f>
        <v>2045</v>
      </c>
      <c r="D135" s="345">
        <f>IF(F134+SUM(E$99:E134)=D$92,F134,D$92-SUM(E$99:E134))</f>
        <v>2012959</v>
      </c>
      <c r="E135" s="484">
        <f>IF(+J96&lt;F134,J96,D135)</f>
        <v>279416</v>
      </c>
      <c r="F135" s="483">
        <f t="shared" si="57"/>
        <v>1733543</v>
      </c>
      <c r="G135" s="483">
        <f t="shared" si="58"/>
        <v>1873251</v>
      </c>
      <c r="H135" s="486">
        <f t="shared" si="55"/>
        <v>492578.4633389826</v>
      </c>
      <c r="I135" s="540">
        <f t="shared" si="56"/>
        <v>492578.4633389826</v>
      </c>
      <c r="J135" s="476">
        <f t="shared" si="59"/>
        <v>0</v>
      </c>
      <c r="K135" s="476"/>
      <c r="L135" s="485"/>
      <c r="M135" s="476">
        <f t="shared" si="60"/>
        <v>0</v>
      </c>
      <c r="N135" s="485"/>
      <c r="O135" s="476">
        <f t="shared" si="61"/>
        <v>0</v>
      </c>
      <c r="P135" s="476">
        <f t="shared" si="62"/>
        <v>0</v>
      </c>
    </row>
    <row r="136" spans="2:16">
      <c r="B136" s="160" t="str">
        <f t="shared" si="38"/>
        <v/>
      </c>
      <c r="C136" s="470">
        <f>IF(D93="","-",+C135+1)</f>
        <v>2046</v>
      </c>
      <c r="D136" s="345">
        <f>IF(F135+SUM(E$99:E135)=D$92,F135,D$92-SUM(E$99:E135))</f>
        <v>1733543</v>
      </c>
      <c r="E136" s="484">
        <f>IF(+J96&lt;F135,J96,D136)</f>
        <v>279416</v>
      </c>
      <c r="F136" s="483">
        <f t="shared" si="57"/>
        <v>1454127</v>
      </c>
      <c r="G136" s="483">
        <f t="shared" si="58"/>
        <v>1593835</v>
      </c>
      <c r="H136" s="486">
        <f t="shared" si="55"/>
        <v>460782.93628130312</v>
      </c>
      <c r="I136" s="540">
        <f t="shared" si="56"/>
        <v>460782.93628130312</v>
      </c>
      <c r="J136" s="476">
        <f t="shared" si="59"/>
        <v>0</v>
      </c>
      <c r="K136" s="476"/>
      <c r="L136" s="485"/>
      <c r="M136" s="476">
        <f t="shared" si="60"/>
        <v>0</v>
      </c>
      <c r="N136" s="485"/>
      <c r="O136" s="476">
        <f t="shared" si="61"/>
        <v>0</v>
      </c>
      <c r="P136" s="476">
        <f t="shared" si="62"/>
        <v>0</v>
      </c>
    </row>
    <row r="137" spans="2:16">
      <c r="B137" s="160" t="str">
        <f t="shared" si="38"/>
        <v/>
      </c>
      <c r="C137" s="470">
        <f>IF(D93="","-",+C136+1)</f>
        <v>2047</v>
      </c>
      <c r="D137" s="345">
        <f>IF(F136+SUM(E$99:E136)=D$92,F136,D$92-SUM(E$99:E136))</f>
        <v>1454127</v>
      </c>
      <c r="E137" s="484">
        <f>IF(+J96&lt;F136,J96,D137)</f>
        <v>279416</v>
      </c>
      <c r="F137" s="483">
        <f t="shared" si="57"/>
        <v>1174711</v>
      </c>
      <c r="G137" s="483">
        <f t="shared" si="58"/>
        <v>1314419</v>
      </c>
      <c r="H137" s="486">
        <f t="shared" si="55"/>
        <v>428987.40922362363</v>
      </c>
      <c r="I137" s="540">
        <f t="shared" si="56"/>
        <v>428987.40922362363</v>
      </c>
      <c r="J137" s="476">
        <f t="shared" si="59"/>
        <v>0</v>
      </c>
      <c r="K137" s="476"/>
      <c r="L137" s="485"/>
      <c r="M137" s="476">
        <f t="shared" si="60"/>
        <v>0</v>
      </c>
      <c r="N137" s="485"/>
      <c r="O137" s="476">
        <f t="shared" si="61"/>
        <v>0</v>
      </c>
      <c r="P137" s="476">
        <f t="shared" si="62"/>
        <v>0</v>
      </c>
    </row>
    <row r="138" spans="2:16">
      <c r="B138" s="160" t="str">
        <f t="shared" si="38"/>
        <v/>
      </c>
      <c r="C138" s="470">
        <f>IF(D93="","-",+C137+1)</f>
        <v>2048</v>
      </c>
      <c r="D138" s="345">
        <f>IF(F137+SUM(E$99:E137)=D$92,F137,D$92-SUM(E$99:E137))</f>
        <v>1174711</v>
      </c>
      <c r="E138" s="484">
        <f>IF(+J96&lt;F137,J96,D138)</f>
        <v>279416</v>
      </c>
      <c r="F138" s="483">
        <f t="shared" si="57"/>
        <v>895295</v>
      </c>
      <c r="G138" s="483">
        <f t="shared" si="58"/>
        <v>1035003</v>
      </c>
      <c r="H138" s="486">
        <f t="shared" si="55"/>
        <v>397191.88216594415</v>
      </c>
      <c r="I138" s="540">
        <f t="shared" si="56"/>
        <v>397191.88216594415</v>
      </c>
      <c r="J138" s="476">
        <f t="shared" si="59"/>
        <v>0</v>
      </c>
      <c r="K138" s="476"/>
      <c r="L138" s="485"/>
      <c r="M138" s="476">
        <f t="shared" si="60"/>
        <v>0</v>
      </c>
      <c r="N138" s="485"/>
      <c r="O138" s="476">
        <f t="shared" si="61"/>
        <v>0</v>
      </c>
      <c r="P138" s="476">
        <f t="shared" si="62"/>
        <v>0</v>
      </c>
    </row>
    <row r="139" spans="2:16">
      <c r="B139" s="160" t="str">
        <f t="shared" si="38"/>
        <v/>
      </c>
      <c r="C139" s="470">
        <f>IF(D93="","-",+C138+1)</f>
        <v>2049</v>
      </c>
      <c r="D139" s="345">
        <f>IF(F138+SUM(E$99:E138)=D$92,F138,D$92-SUM(E$99:E138))</f>
        <v>895295</v>
      </c>
      <c r="E139" s="484">
        <f>IF(+J96&lt;F138,J96,D139)</f>
        <v>279416</v>
      </c>
      <c r="F139" s="483">
        <f t="shared" si="57"/>
        <v>615879</v>
      </c>
      <c r="G139" s="483">
        <f t="shared" si="58"/>
        <v>755587</v>
      </c>
      <c r="H139" s="486">
        <f t="shared" si="55"/>
        <v>365396.35510826466</v>
      </c>
      <c r="I139" s="540">
        <f t="shared" si="56"/>
        <v>365396.35510826466</v>
      </c>
      <c r="J139" s="476">
        <f t="shared" si="59"/>
        <v>0</v>
      </c>
      <c r="K139" s="476"/>
      <c r="L139" s="485"/>
      <c r="M139" s="476">
        <f t="shared" si="60"/>
        <v>0</v>
      </c>
      <c r="N139" s="485"/>
      <c r="O139" s="476">
        <f t="shared" si="61"/>
        <v>0</v>
      </c>
      <c r="P139" s="476">
        <f t="shared" si="62"/>
        <v>0</v>
      </c>
    </row>
    <row r="140" spans="2:16">
      <c r="B140" s="160" t="str">
        <f t="shared" si="38"/>
        <v/>
      </c>
      <c r="C140" s="470">
        <f>IF(D93="","-",+C139+1)</f>
        <v>2050</v>
      </c>
      <c r="D140" s="345">
        <f>IF(F139+SUM(E$99:E139)=D$92,F139,D$92-SUM(E$99:E139))</f>
        <v>615879</v>
      </c>
      <c r="E140" s="484">
        <f>IF(+J96&lt;F139,J96,D140)</f>
        <v>279416</v>
      </c>
      <c r="F140" s="483">
        <f t="shared" si="57"/>
        <v>336463</v>
      </c>
      <c r="G140" s="483">
        <f t="shared" si="58"/>
        <v>476171</v>
      </c>
      <c r="H140" s="486">
        <f t="shared" si="55"/>
        <v>333600.82805058517</v>
      </c>
      <c r="I140" s="540">
        <f t="shared" si="56"/>
        <v>333600.82805058517</v>
      </c>
      <c r="J140" s="476">
        <f t="shared" si="59"/>
        <v>0</v>
      </c>
      <c r="K140" s="476"/>
      <c r="L140" s="485"/>
      <c r="M140" s="476">
        <f t="shared" si="60"/>
        <v>0</v>
      </c>
      <c r="N140" s="485"/>
      <c r="O140" s="476">
        <f t="shared" si="61"/>
        <v>0</v>
      </c>
      <c r="P140" s="476">
        <f t="shared" si="62"/>
        <v>0</v>
      </c>
    </row>
    <row r="141" spans="2:16">
      <c r="B141" s="160" t="str">
        <f t="shared" si="38"/>
        <v/>
      </c>
      <c r="C141" s="470">
        <f>IF(D93="","-",+C140+1)</f>
        <v>2051</v>
      </c>
      <c r="D141" s="345">
        <f>IF(F140+SUM(E$99:E140)=D$92,F140,D$92-SUM(E$99:E140))</f>
        <v>336463</v>
      </c>
      <c r="E141" s="484">
        <f>IF(+J96&lt;F140,J96,D141)</f>
        <v>279416</v>
      </c>
      <c r="F141" s="483">
        <f t="shared" si="57"/>
        <v>57047</v>
      </c>
      <c r="G141" s="483">
        <f t="shared" si="58"/>
        <v>196755</v>
      </c>
      <c r="H141" s="486">
        <f t="shared" si="55"/>
        <v>301805.30099290569</v>
      </c>
      <c r="I141" s="540">
        <f t="shared" si="56"/>
        <v>301805.30099290569</v>
      </c>
      <c r="J141" s="476">
        <f t="shared" si="59"/>
        <v>0</v>
      </c>
      <c r="K141" s="476"/>
      <c r="L141" s="485"/>
      <c r="M141" s="476">
        <f t="shared" si="60"/>
        <v>0</v>
      </c>
      <c r="N141" s="485"/>
      <c r="O141" s="476">
        <f t="shared" si="61"/>
        <v>0</v>
      </c>
      <c r="P141" s="476">
        <f t="shared" si="62"/>
        <v>0</v>
      </c>
    </row>
    <row r="142" spans="2:16">
      <c r="B142" s="160" t="str">
        <f t="shared" si="38"/>
        <v/>
      </c>
      <c r="C142" s="470">
        <f>IF(D93="","-",+C141+1)</f>
        <v>2052</v>
      </c>
      <c r="D142" s="345">
        <f>IF(F141+SUM(E$99:E141)=D$92,F141,D$92-SUM(E$99:E141))</f>
        <v>57047</v>
      </c>
      <c r="E142" s="484">
        <f>IF(+J96&lt;F141,J96,D142)</f>
        <v>57047</v>
      </c>
      <c r="F142" s="483">
        <f t="shared" si="57"/>
        <v>0</v>
      </c>
      <c r="G142" s="483">
        <f t="shared" si="58"/>
        <v>28523.5</v>
      </c>
      <c r="H142" s="486">
        <f t="shared" si="55"/>
        <v>60292.768732032957</v>
      </c>
      <c r="I142" s="540">
        <f t="shared" si="56"/>
        <v>60292.768732032957</v>
      </c>
      <c r="J142" s="476">
        <f t="shared" si="59"/>
        <v>0</v>
      </c>
      <c r="K142" s="476"/>
      <c r="L142" s="485"/>
      <c r="M142" s="476">
        <f t="shared" si="60"/>
        <v>0</v>
      </c>
      <c r="N142" s="485"/>
      <c r="O142" s="476">
        <f t="shared" si="61"/>
        <v>0</v>
      </c>
      <c r="P142" s="476">
        <f t="shared" si="62"/>
        <v>0</v>
      </c>
    </row>
    <row r="143" spans="2:16">
      <c r="B143" s="160" t="str">
        <f t="shared" si="38"/>
        <v/>
      </c>
      <c r="C143" s="470">
        <f>IF(D93="","-",+C142+1)</f>
        <v>2053</v>
      </c>
      <c r="D143" s="345">
        <f>IF(F142+SUM(E$99:E142)=D$92,F142,D$92-SUM(E$99:E142))</f>
        <v>0</v>
      </c>
      <c r="E143" s="484">
        <f>IF(+J96&lt;F142,J96,D143)</f>
        <v>0</v>
      </c>
      <c r="F143" s="483">
        <f t="shared" si="57"/>
        <v>0</v>
      </c>
      <c r="G143" s="483">
        <f t="shared" si="58"/>
        <v>0</v>
      </c>
      <c r="H143" s="486">
        <f t="shared" si="55"/>
        <v>0</v>
      </c>
      <c r="I143" s="540">
        <f t="shared" si="56"/>
        <v>0</v>
      </c>
      <c r="J143" s="476">
        <f t="shared" si="59"/>
        <v>0</v>
      </c>
      <c r="K143" s="476"/>
      <c r="L143" s="485"/>
      <c r="M143" s="476">
        <f t="shared" si="60"/>
        <v>0</v>
      </c>
      <c r="N143" s="485"/>
      <c r="O143" s="476">
        <f t="shared" si="61"/>
        <v>0</v>
      </c>
      <c r="P143" s="476">
        <f t="shared" si="62"/>
        <v>0</v>
      </c>
    </row>
    <row r="144" spans="2:16">
      <c r="B144" s="160" t="str">
        <f t="shared" si="38"/>
        <v/>
      </c>
      <c r="C144" s="470">
        <f>IF(D93="","-",+C143+1)</f>
        <v>2054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57"/>
        <v>0</v>
      </c>
      <c r="G144" s="483">
        <f t="shared" si="58"/>
        <v>0</v>
      </c>
      <c r="H144" s="486">
        <f t="shared" si="55"/>
        <v>0</v>
      </c>
      <c r="I144" s="540">
        <f t="shared" si="56"/>
        <v>0</v>
      </c>
      <c r="J144" s="476">
        <f t="shared" si="59"/>
        <v>0</v>
      </c>
      <c r="K144" s="476"/>
      <c r="L144" s="485"/>
      <c r="M144" s="476">
        <f t="shared" si="60"/>
        <v>0</v>
      </c>
      <c r="N144" s="485"/>
      <c r="O144" s="476">
        <f t="shared" si="61"/>
        <v>0</v>
      </c>
      <c r="P144" s="476">
        <f t="shared" si="62"/>
        <v>0</v>
      </c>
    </row>
    <row r="145" spans="2:16">
      <c r="B145" s="160" t="str">
        <f t="shared" si="38"/>
        <v/>
      </c>
      <c r="C145" s="470">
        <f>IF(D93="","-",+C144+1)</f>
        <v>2055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57"/>
        <v>0</v>
      </c>
      <c r="G145" s="483">
        <f t="shared" si="58"/>
        <v>0</v>
      </c>
      <c r="H145" s="486">
        <f t="shared" si="55"/>
        <v>0</v>
      </c>
      <c r="I145" s="540">
        <f t="shared" si="56"/>
        <v>0</v>
      </c>
      <c r="J145" s="476">
        <f t="shared" si="59"/>
        <v>0</v>
      </c>
      <c r="K145" s="476"/>
      <c r="L145" s="485"/>
      <c r="M145" s="476">
        <f t="shared" si="60"/>
        <v>0</v>
      </c>
      <c r="N145" s="485"/>
      <c r="O145" s="476">
        <f t="shared" si="61"/>
        <v>0</v>
      </c>
      <c r="P145" s="476">
        <f t="shared" si="62"/>
        <v>0</v>
      </c>
    </row>
    <row r="146" spans="2:16">
      <c r="B146" s="160" t="str">
        <f t="shared" si="38"/>
        <v/>
      </c>
      <c r="C146" s="470">
        <f>IF(D93="","-",+C145+1)</f>
        <v>2056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si="57"/>
        <v>0</v>
      </c>
      <c r="G146" s="483">
        <f t="shared" si="58"/>
        <v>0</v>
      </c>
      <c r="H146" s="486">
        <f t="shared" si="55"/>
        <v>0</v>
      </c>
      <c r="I146" s="540">
        <f t="shared" si="56"/>
        <v>0</v>
      </c>
      <c r="J146" s="476">
        <f t="shared" si="59"/>
        <v>0</v>
      </c>
      <c r="K146" s="476"/>
      <c r="L146" s="485"/>
      <c r="M146" s="476">
        <f t="shared" si="60"/>
        <v>0</v>
      </c>
      <c r="N146" s="485"/>
      <c r="O146" s="476">
        <f t="shared" si="61"/>
        <v>0</v>
      </c>
      <c r="P146" s="476">
        <f t="shared" si="62"/>
        <v>0</v>
      </c>
    </row>
    <row r="147" spans="2:16">
      <c r="B147" s="160" t="str">
        <f t="shared" si="38"/>
        <v/>
      </c>
      <c r="C147" s="470">
        <f>IF(D93="","-",+C146+1)</f>
        <v>2057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57"/>
        <v>0</v>
      </c>
      <c r="G147" s="483">
        <f t="shared" si="58"/>
        <v>0</v>
      </c>
      <c r="H147" s="486">
        <f t="shared" si="55"/>
        <v>0</v>
      </c>
      <c r="I147" s="540">
        <f t="shared" si="56"/>
        <v>0</v>
      </c>
      <c r="J147" s="476">
        <f t="shared" si="59"/>
        <v>0</v>
      </c>
      <c r="K147" s="476"/>
      <c r="L147" s="485"/>
      <c r="M147" s="476">
        <f t="shared" si="60"/>
        <v>0</v>
      </c>
      <c r="N147" s="485"/>
      <c r="O147" s="476">
        <f t="shared" si="61"/>
        <v>0</v>
      </c>
      <c r="P147" s="476">
        <f t="shared" si="62"/>
        <v>0</v>
      </c>
    </row>
    <row r="148" spans="2:16">
      <c r="B148" s="160" t="str">
        <f t="shared" si="38"/>
        <v/>
      </c>
      <c r="C148" s="470">
        <f>IF(D93="","-",+C147+1)</f>
        <v>2058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57"/>
        <v>0</v>
      </c>
      <c r="G148" s="483">
        <f t="shared" si="58"/>
        <v>0</v>
      </c>
      <c r="H148" s="486">
        <f t="shared" si="55"/>
        <v>0</v>
      </c>
      <c r="I148" s="540">
        <f t="shared" si="56"/>
        <v>0</v>
      </c>
      <c r="J148" s="476">
        <f t="shared" si="59"/>
        <v>0</v>
      </c>
      <c r="K148" s="476"/>
      <c r="L148" s="485"/>
      <c r="M148" s="476">
        <f t="shared" si="60"/>
        <v>0</v>
      </c>
      <c r="N148" s="485"/>
      <c r="O148" s="476">
        <f t="shared" si="61"/>
        <v>0</v>
      </c>
      <c r="P148" s="476">
        <f t="shared" si="62"/>
        <v>0</v>
      </c>
    </row>
    <row r="149" spans="2:16">
      <c r="B149" s="160" t="str">
        <f t="shared" si="38"/>
        <v/>
      </c>
      <c r="C149" s="470">
        <f>IF(D93="","-",+C148+1)</f>
        <v>2059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57"/>
        <v>0</v>
      </c>
      <c r="G149" s="483">
        <f t="shared" si="58"/>
        <v>0</v>
      </c>
      <c r="H149" s="486">
        <f t="shared" si="55"/>
        <v>0</v>
      </c>
      <c r="I149" s="540">
        <f t="shared" si="56"/>
        <v>0</v>
      </c>
      <c r="J149" s="476">
        <f t="shared" si="59"/>
        <v>0</v>
      </c>
      <c r="K149" s="476"/>
      <c r="L149" s="485"/>
      <c r="M149" s="476">
        <f t="shared" si="60"/>
        <v>0</v>
      </c>
      <c r="N149" s="485"/>
      <c r="O149" s="476">
        <f t="shared" si="61"/>
        <v>0</v>
      </c>
      <c r="P149" s="476">
        <f t="shared" si="62"/>
        <v>0</v>
      </c>
    </row>
    <row r="150" spans="2:16">
      <c r="B150" s="160" t="str">
        <f t="shared" si="38"/>
        <v/>
      </c>
      <c r="C150" s="470">
        <f>IF(D93="","-",+C149+1)</f>
        <v>2060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57"/>
        <v>0</v>
      </c>
      <c r="G150" s="483">
        <f t="shared" si="58"/>
        <v>0</v>
      </c>
      <c r="H150" s="486">
        <f t="shared" si="55"/>
        <v>0</v>
      </c>
      <c r="I150" s="540">
        <f t="shared" si="56"/>
        <v>0</v>
      </c>
      <c r="J150" s="476">
        <f t="shared" si="59"/>
        <v>0</v>
      </c>
      <c r="K150" s="476"/>
      <c r="L150" s="485"/>
      <c r="M150" s="476">
        <f t="shared" si="60"/>
        <v>0</v>
      </c>
      <c r="N150" s="485"/>
      <c r="O150" s="476">
        <f t="shared" si="61"/>
        <v>0</v>
      </c>
      <c r="P150" s="476">
        <f t="shared" si="62"/>
        <v>0</v>
      </c>
    </row>
    <row r="151" spans="2:16">
      <c r="B151" s="160" t="str">
        <f t="shared" si="38"/>
        <v/>
      </c>
      <c r="C151" s="470">
        <f>IF(D93="","-",+C150+1)</f>
        <v>2061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57"/>
        <v>0</v>
      </c>
      <c r="G151" s="483">
        <f t="shared" si="58"/>
        <v>0</v>
      </c>
      <c r="H151" s="486">
        <f t="shared" si="55"/>
        <v>0</v>
      </c>
      <c r="I151" s="540">
        <f t="shared" si="56"/>
        <v>0</v>
      </c>
      <c r="J151" s="476">
        <f t="shared" si="59"/>
        <v>0</v>
      </c>
      <c r="K151" s="476"/>
      <c r="L151" s="485"/>
      <c r="M151" s="476">
        <f t="shared" si="60"/>
        <v>0</v>
      </c>
      <c r="N151" s="485"/>
      <c r="O151" s="476">
        <f t="shared" si="61"/>
        <v>0</v>
      </c>
      <c r="P151" s="476">
        <f t="shared" si="62"/>
        <v>0</v>
      </c>
    </row>
    <row r="152" spans="2:16">
      <c r="B152" s="160" t="str">
        <f t="shared" si="38"/>
        <v/>
      </c>
      <c r="C152" s="470">
        <f>IF(D93="","-",+C151+1)</f>
        <v>2062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57"/>
        <v>0</v>
      </c>
      <c r="G152" s="483">
        <f t="shared" si="58"/>
        <v>0</v>
      </c>
      <c r="H152" s="486">
        <f t="shared" si="55"/>
        <v>0</v>
      </c>
      <c r="I152" s="540">
        <f t="shared" si="56"/>
        <v>0</v>
      </c>
      <c r="J152" s="476">
        <f t="shared" si="59"/>
        <v>0</v>
      </c>
      <c r="K152" s="476"/>
      <c r="L152" s="485"/>
      <c r="M152" s="476">
        <f t="shared" si="60"/>
        <v>0</v>
      </c>
      <c r="N152" s="485"/>
      <c r="O152" s="476">
        <f t="shared" si="61"/>
        <v>0</v>
      </c>
      <c r="P152" s="476">
        <f t="shared" si="62"/>
        <v>0</v>
      </c>
    </row>
    <row r="153" spans="2:16">
      <c r="B153" s="160" t="str">
        <f t="shared" si="38"/>
        <v/>
      </c>
      <c r="C153" s="470">
        <f>IF(D93="","-",+C152+1)</f>
        <v>2063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57"/>
        <v>0</v>
      </c>
      <c r="G153" s="483">
        <f t="shared" si="58"/>
        <v>0</v>
      </c>
      <c r="H153" s="486">
        <f t="shared" si="55"/>
        <v>0</v>
      </c>
      <c r="I153" s="540">
        <f t="shared" si="56"/>
        <v>0</v>
      </c>
      <c r="J153" s="476">
        <f t="shared" si="59"/>
        <v>0</v>
      </c>
      <c r="K153" s="476"/>
      <c r="L153" s="485"/>
      <c r="M153" s="476">
        <f t="shared" si="60"/>
        <v>0</v>
      </c>
      <c r="N153" s="485"/>
      <c r="O153" s="476">
        <f t="shared" si="61"/>
        <v>0</v>
      </c>
      <c r="P153" s="476">
        <f t="shared" si="62"/>
        <v>0</v>
      </c>
    </row>
    <row r="154" spans="2:16" ht="13.5" thickBot="1">
      <c r="B154" s="160" t="str">
        <f t="shared" si="38"/>
        <v/>
      </c>
      <c r="C154" s="487">
        <f>IF(D93="","-",+C153+1)</f>
        <v>2064</v>
      </c>
      <c r="D154" s="541">
        <f>IF(F153+SUM(E$99:E153)=D$92,F153,D$92-SUM(E$99:E153))</f>
        <v>0</v>
      </c>
      <c r="E154" s="542">
        <f>IF(+J96&lt;F153,J96,D154)</f>
        <v>0</v>
      </c>
      <c r="F154" s="488">
        <f t="shared" si="57"/>
        <v>0</v>
      </c>
      <c r="G154" s="488">
        <f t="shared" si="58"/>
        <v>0</v>
      </c>
      <c r="H154" s="490">
        <f t="shared" si="55"/>
        <v>0</v>
      </c>
      <c r="I154" s="543">
        <f t="shared" si="56"/>
        <v>0</v>
      </c>
      <c r="J154" s="493">
        <f t="shared" si="59"/>
        <v>0</v>
      </c>
      <c r="K154" s="476"/>
      <c r="L154" s="492"/>
      <c r="M154" s="493">
        <f t="shared" si="60"/>
        <v>0</v>
      </c>
      <c r="N154" s="492"/>
      <c r="O154" s="493">
        <f t="shared" si="61"/>
        <v>0</v>
      </c>
      <c r="P154" s="493">
        <f t="shared" si="62"/>
        <v>0</v>
      </c>
    </row>
    <row r="155" spans="2:16">
      <c r="C155" s="345" t="s">
        <v>77</v>
      </c>
      <c r="D155" s="346"/>
      <c r="E155" s="346">
        <f>SUM(E99:E154)</f>
        <v>11456065</v>
      </c>
      <c r="F155" s="346"/>
      <c r="G155" s="346"/>
      <c r="H155" s="346">
        <f>SUM(H99:H154)</f>
        <v>42743905.262967907</v>
      </c>
      <c r="I155" s="346">
        <f>SUM(I99:I154)</f>
        <v>42743905.262967907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 t="s">
        <v>100</v>
      </c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94" t="s">
        <v>107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78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 t="s">
        <v>79</v>
      </c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66" priority="1" stopIfTrue="1" operator="equal">
      <formula>$I$10</formula>
    </cfRule>
  </conditionalFormatting>
  <conditionalFormatting sqref="C99:C154">
    <cfRule type="cellIs" dxfId="6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2"/>
  <dimension ref="A1:P162"/>
  <sheetViews>
    <sheetView topLeftCell="A92" zoomScaleNormal="100" zoomScaleSheetLayoutView="75" workbookViewId="0">
      <selection activeCell="V52" sqref="V5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"&amp;RIGHT(MID(CELL("filename",$A$1),FIND("]",CELL("filename",$A$1))+1,256),1)&amp;" of "&amp;COUNT('P.001:P.xyz - blank'!$P$3)-1</f>
        <v>PSO Project 4 of 33</v>
      </c>
    </row>
    <row r="2" spans="1:16" ht="20.25">
      <c r="A2" s="553"/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 t="str">
        <f>"For Calendar Year "&amp;V1-1&amp;" and Projected Year "&amp;V1</f>
        <v xml:space="preserve">For Calendar Year -1 and Projected Year </v>
      </c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 t="s">
        <v>251</v>
      </c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VLOOKUP(I10,C17:I72,5)-O5</f>
        <v>1456525.2</v>
      </c>
      <c r="O5" s="554">
        <f>1307.4*12</f>
        <v>15688.800000000001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VLOOKUP(I10,C17:I72,6)-O5</f>
        <v>1456525.2</v>
      </c>
      <c r="O6" s="231"/>
      <c r="P6" s="231"/>
    </row>
    <row r="7" spans="1:16" ht="13.5" thickBot="1">
      <c r="C7" s="429" t="s">
        <v>46</v>
      </c>
      <c r="D7" s="430" t="s">
        <v>207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/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A9" s="155"/>
      <c r="C9" s="438" t="s">
        <v>48</v>
      </c>
      <c r="D9" s="439" t="s">
        <v>82</v>
      </c>
      <c r="E9" s="575" t="s">
        <v>351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14615636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2008</v>
      </c>
      <c r="E11" s="448" t="s">
        <v>54</v>
      </c>
      <c r="F11" s="446"/>
      <c r="G11" s="194"/>
      <c r="H11" s="194"/>
      <c r="I11" s="450"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7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384622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555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2008</v>
      </c>
      <c r="D17" s="556">
        <v>2264444</v>
      </c>
      <c r="E17" s="472">
        <v>21774</v>
      </c>
      <c r="F17" s="471">
        <v>2242670</v>
      </c>
      <c r="G17" s="472">
        <v>215833</v>
      </c>
      <c r="H17" s="472">
        <v>215833</v>
      </c>
      <c r="I17" s="473">
        <f t="shared" ref="I17:I48" si="0">H17-G17</f>
        <v>0</v>
      </c>
      <c r="J17" s="347"/>
      <c r="K17" s="474">
        <v>215833</v>
      </c>
      <c r="L17" s="557">
        <f t="shared" ref="L17:L48" si="1">IF(K17&lt;&gt;0,+G17-K17,0)</f>
        <v>0</v>
      </c>
      <c r="M17" s="552">
        <v>215833</v>
      </c>
      <c r="N17" s="475">
        <f t="shared" ref="N17:N48" si="2">IF(M17&lt;&gt;0,+H17-M17,0)</f>
        <v>0</v>
      </c>
      <c r="O17" s="476">
        <f t="shared" ref="O17:O48" si="3">+N17-L17</f>
        <v>0</v>
      </c>
      <c r="P17" s="241"/>
    </row>
    <row r="18" spans="2:16">
      <c r="B18" s="160" t="str">
        <f>IF(D18=F17,"","IU")</f>
        <v>IU</v>
      </c>
      <c r="C18" s="470">
        <f>IF(D11="","-",+C17+1)</f>
        <v>2009</v>
      </c>
      <c r="D18" s="471">
        <v>14429811</v>
      </c>
      <c r="E18" s="478">
        <v>274418</v>
      </c>
      <c r="F18" s="471">
        <v>14155393</v>
      </c>
      <c r="G18" s="478">
        <v>2443110</v>
      </c>
      <c r="H18" s="478">
        <v>2443110</v>
      </c>
      <c r="I18" s="473">
        <f t="shared" si="0"/>
        <v>0</v>
      </c>
      <c r="J18" s="473"/>
      <c r="K18" s="474">
        <v>2443110</v>
      </c>
      <c r="L18" s="476">
        <f t="shared" si="1"/>
        <v>0</v>
      </c>
      <c r="M18" s="474">
        <v>2443110</v>
      </c>
      <c r="N18" s="476">
        <f t="shared" si="2"/>
        <v>0</v>
      </c>
      <c r="O18" s="476">
        <f t="shared" si="3"/>
        <v>0</v>
      </c>
      <c r="P18" s="241"/>
    </row>
    <row r="19" spans="2:16">
      <c r="B19" s="160" t="str">
        <f>IF(D19=F18,"","IU")</f>
        <v>IU</v>
      </c>
      <c r="C19" s="470">
        <f>IF(D11="","-",+C18+1)</f>
        <v>2010</v>
      </c>
      <c r="D19" s="477">
        <v>14390719</v>
      </c>
      <c r="E19" s="478">
        <v>262266.26785714284</v>
      </c>
      <c r="F19" s="477">
        <v>14128452.732142856</v>
      </c>
      <c r="G19" s="478">
        <v>2300952.2678571427</v>
      </c>
      <c r="H19" s="479">
        <v>2300952.2678571427</v>
      </c>
      <c r="I19" s="473">
        <f t="shared" si="0"/>
        <v>0</v>
      </c>
      <c r="J19" s="473"/>
      <c r="K19" s="474">
        <f t="shared" ref="K19:K24" si="4">G19</f>
        <v>2300952.2678571427</v>
      </c>
      <c r="L19" s="548">
        <f t="shared" si="1"/>
        <v>0</v>
      </c>
      <c r="M19" s="474">
        <f t="shared" ref="M19:M24" si="5">H19</f>
        <v>2300952.2678571427</v>
      </c>
      <c r="N19" s="476">
        <f t="shared" si="2"/>
        <v>0</v>
      </c>
      <c r="O19" s="476">
        <f t="shared" si="3"/>
        <v>0</v>
      </c>
      <c r="P19" s="241"/>
    </row>
    <row r="20" spans="2:16">
      <c r="B20" s="160" t="str">
        <f t="shared" ref="B20:B72" si="6">IF(D20=F19,"","IU")</f>
        <v>IU</v>
      </c>
      <c r="C20" s="470">
        <f>IF(D11="","-",+C19+1)</f>
        <v>2011</v>
      </c>
      <c r="D20" s="477">
        <v>14057177.732142856</v>
      </c>
      <c r="E20" s="478">
        <v>286581.09803921566</v>
      </c>
      <c r="F20" s="477">
        <v>13770596.634103641</v>
      </c>
      <c r="G20" s="478">
        <v>2442276.0980392154</v>
      </c>
      <c r="H20" s="479">
        <v>2442276.0980392154</v>
      </c>
      <c r="I20" s="473">
        <f t="shared" si="0"/>
        <v>0</v>
      </c>
      <c r="J20" s="473"/>
      <c r="K20" s="474">
        <f t="shared" si="4"/>
        <v>2442276.0980392154</v>
      </c>
      <c r="L20" s="548">
        <f t="shared" si="1"/>
        <v>0</v>
      </c>
      <c r="M20" s="474">
        <f t="shared" si="5"/>
        <v>2442276.0980392154</v>
      </c>
      <c r="N20" s="476">
        <f t="shared" si="2"/>
        <v>0</v>
      </c>
      <c r="O20" s="476">
        <f t="shared" si="3"/>
        <v>0</v>
      </c>
      <c r="P20" s="241"/>
    </row>
    <row r="21" spans="2:16">
      <c r="B21" s="160" t="str">
        <f t="shared" si="6"/>
        <v/>
      </c>
      <c r="C21" s="470">
        <f>IF(D12="","-",+C20+1)</f>
        <v>2012</v>
      </c>
      <c r="D21" s="477">
        <v>13770596.634103641</v>
      </c>
      <c r="E21" s="478">
        <v>281069.92307692306</v>
      </c>
      <c r="F21" s="477">
        <v>13489526.711026717</v>
      </c>
      <c r="G21" s="478">
        <v>2158902.923076923</v>
      </c>
      <c r="H21" s="479">
        <v>2158902.923076923</v>
      </c>
      <c r="I21" s="473">
        <f t="shared" si="0"/>
        <v>0</v>
      </c>
      <c r="J21" s="473"/>
      <c r="K21" s="474">
        <f t="shared" si="4"/>
        <v>2158902.923076923</v>
      </c>
      <c r="L21" s="548">
        <f t="shared" si="1"/>
        <v>0</v>
      </c>
      <c r="M21" s="474">
        <f t="shared" si="5"/>
        <v>2158902.923076923</v>
      </c>
      <c r="N21" s="476">
        <f t="shared" si="2"/>
        <v>0</v>
      </c>
      <c r="O21" s="476">
        <f t="shared" si="3"/>
        <v>0</v>
      </c>
      <c r="P21" s="241"/>
    </row>
    <row r="22" spans="2:16">
      <c r="B22" s="160" t="str">
        <f t="shared" si="6"/>
        <v/>
      </c>
      <c r="C22" s="470">
        <f>IF(D11="","-",+C21+1)</f>
        <v>2013</v>
      </c>
      <c r="D22" s="477">
        <v>13489526.711026717</v>
      </c>
      <c r="E22" s="478">
        <v>281069.92307692306</v>
      </c>
      <c r="F22" s="477">
        <v>13208456.787949793</v>
      </c>
      <c r="G22" s="478">
        <v>2167326.923076923</v>
      </c>
      <c r="H22" s="479">
        <v>2167326.923076923</v>
      </c>
      <c r="I22" s="473">
        <v>0</v>
      </c>
      <c r="J22" s="473"/>
      <c r="K22" s="474">
        <f t="shared" si="4"/>
        <v>2167326.923076923</v>
      </c>
      <c r="L22" s="548">
        <f t="shared" ref="L22:L27" si="7">IF(K22&lt;&gt;0,+G22-K22,0)</f>
        <v>0</v>
      </c>
      <c r="M22" s="474">
        <f t="shared" si="5"/>
        <v>2167326.923076923</v>
      </c>
      <c r="N22" s="476">
        <f t="shared" ref="N22:N27" si="8">IF(M22&lt;&gt;0,+H22-M22,0)</f>
        <v>0</v>
      </c>
      <c r="O22" s="476">
        <f t="shared" ref="O22:O27" si="9">+N22-L22</f>
        <v>0</v>
      </c>
      <c r="P22" s="241"/>
    </row>
    <row r="23" spans="2:16">
      <c r="B23" s="160" t="str">
        <f t="shared" si="6"/>
        <v/>
      </c>
      <c r="C23" s="470">
        <f>IF(D11="","-",+C22+1)</f>
        <v>2014</v>
      </c>
      <c r="D23" s="477">
        <v>13208456.787949793</v>
      </c>
      <c r="E23" s="478">
        <v>281069.92307692306</v>
      </c>
      <c r="F23" s="477">
        <v>12927386.864872869</v>
      </c>
      <c r="G23" s="478">
        <v>2060637.923076923</v>
      </c>
      <c r="H23" s="479">
        <v>2060637.923076923</v>
      </c>
      <c r="I23" s="473">
        <v>0</v>
      </c>
      <c r="J23" s="473"/>
      <c r="K23" s="474">
        <f t="shared" si="4"/>
        <v>2060637.923076923</v>
      </c>
      <c r="L23" s="548">
        <f t="shared" si="7"/>
        <v>0</v>
      </c>
      <c r="M23" s="474">
        <f t="shared" si="5"/>
        <v>2060637.923076923</v>
      </c>
      <c r="N23" s="476">
        <f t="shared" si="8"/>
        <v>0</v>
      </c>
      <c r="O23" s="476">
        <f t="shared" si="9"/>
        <v>0</v>
      </c>
      <c r="P23" s="241"/>
    </row>
    <row r="24" spans="2:16">
      <c r="B24" s="160" t="str">
        <f t="shared" si="6"/>
        <v/>
      </c>
      <c r="C24" s="470">
        <f>IF(D11="","-",+C23+1)</f>
        <v>2015</v>
      </c>
      <c r="D24" s="477">
        <v>12927386.864872869</v>
      </c>
      <c r="E24" s="478">
        <v>281069.92307692306</v>
      </c>
      <c r="F24" s="477">
        <v>12646316.941795945</v>
      </c>
      <c r="G24" s="478">
        <v>2024638.923076923</v>
      </c>
      <c r="H24" s="479">
        <v>2024638.923076923</v>
      </c>
      <c r="I24" s="473">
        <v>0</v>
      </c>
      <c r="J24" s="473"/>
      <c r="K24" s="474">
        <f t="shared" si="4"/>
        <v>2024638.923076923</v>
      </c>
      <c r="L24" s="548">
        <f t="shared" si="7"/>
        <v>0</v>
      </c>
      <c r="M24" s="474">
        <f t="shared" si="5"/>
        <v>2024638.923076923</v>
      </c>
      <c r="N24" s="476">
        <f t="shared" si="8"/>
        <v>0</v>
      </c>
      <c r="O24" s="476">
        <f t="shared" si="9"/>
        <v>0</v>
      </c>
      <c r="P24" s="241"/>
    </row>
    <row r="25" spans="2:16">
      <c r="B25" s="160" t="str">
        <f t="shared" si="6"/>
        <v/>
      </c>
      <c r="C25" s="470">
        <f>IF(D11="","-",+C24+1)</f>
        <v>2016</v>
      </c>
      <c r="D25" s="477">
        <v>12646316.941795945</v>
      </c>
      <c r="E25" s="478">
        <v>281069.92307692306</v>
      </c>
      <c r="F25" s="477">
        <v>12365247.018719021</v>
      </c>
      <c r="G25" s="478">
        <v>1902890.923076923</v>
      </c>
      <c r="H25" s="479">
        <v>1902890.923076923</v>
      </c>
      <c r="I25" s="473">
        <f t="shared" si="0"/>
        <v>0</v>
      </c>
      <c r="J25" s="473"/>
      <c r="K25" s="474">
        <f t="shared" ref="K25:K30" si="10">G25</f>
        <v>1902890.923076923</v>
      </c>
      <c r="L25" s="548">
        <f t="shared" si="7"/>
        <v>0</v>
      </c>
      <c r="M25" s="474">
        <f t="shared" ref="M25:M30" si="11">H25</f>
        <v>1902890.923076923</v>
      </c>
      <c r="N25" s="476">
        <f t="shared" si="8"/>
        <v>0</v>
      </c>
      <c r="O25" s="476">
        <f t="shared" si="9"/>
        <v>0</v>
      </c>
      <c r="P25" s="241"/>
    </row>
    <row r="26" spans="2:16">
      <c r="B26" s="160" t="str">
        <f t="shared" si="6"/>
        <v/>
      </c>
      <c r="C26" s="470">
        <f>IF(D11="","-",+C25+1)</f>
        <v>2017</v>
      </c>
      <c r="D26" s="477">
        <v>12365247.018719021</v>
      </c>
      <c r="E26" s="478">
        <v>317731.21739130432</v>
      </c>
      <c r="F26" s="477">
        <v>12047515.801327717</v>
      </c>
      <c r="G26" s="478">
        <v>1850906.2173913042</v>
      </c>
      <c r="H26" s="479">
        <v>1850906.2173913042</v>
      </c>
      <c r="I26" s="473">
        <f t="shared" si="0"/>
        <v>0</v>
      </c>
      <c r="J26" s="473"/>
      <c r="K26" s="474">
        <f t="shared" si="10"/>
        <v>1850906.2173913042</v>
      </c>
      <c r="L26" s="548">
        <f t="shared" si="7"/>
        <v>0</v>
      </c>
      <c r="M26" s="474">
        <f t="shared" si="11"/>
        <v>1850906.2173913042</v>
      </c>
      <c r="N26" s="476">
        <f t="shared" si="8"/>
        <v>0</v>
      </c>
      <c r="O26" s="476">
        <f t="shared" si="9"/>
        <v>0</v>
      </c>
      <c r="P26" s="241"/>
    </row>
    <row r="27" spans="2:16">
      <c r="B27" s="160" t="str">
        <f t="shared" si="6"/>
        <v/>
      </c>
      <c r="C27" s="470">
        <f>IF(D11="","-",+C26+1)</f>
        <v>2018</v>
      </c>
      <c r="D27" s="477">
        <v>12047515.801327717</v>
      </c>
      <c r="E27" s="478">
        <v>324791.91111111111</v>
      </c>
      <c r="F27" s="477">
        <v>11722723.890216606</v>
      </c>
      <c r="G27" s="478">
        <v>1748141.2740256879</v>
      </c>
      <c r="H27" s="479">
        <v>1748141.2740256879</v>
      </c>
      <c r="I27" s="473">
        <f t="shared" si="0"/>
        <v>0</v>
      </c>
      <c r="J27" s="473"/>
      <c r="K27" s="474">
        <f t="shared" si="10"/>
        <v>1748141.2740256879</v>
      </c>
      <c r="L27" s="548">
        <f t="shared" si="7"/>
        <v>0</v>
      </c>
      <c r="M27" s="474">
        <f t="shared" si="11"/>
        <v>1748141.2740256879</v>
      </c>
      <c r="N27" s="476">
        <f t="shared" si="8"/>
        <v>0</v>
      </c>
      <c r="O27" s="476">
        <f t="shared" si="9"/>
        <v>0</v>
      </c>
      <c r="P27" s="241"/>
    </row>
    <row r="28" spans="2:16">
      <c r="B28" s="160" t="str">
        <f t="shared" si="6"/>
        <v/>
      </c>
      <c r="C28" s="470">
        <f>IF(D11="","-",+C27+1)</f>
        <v>2019</v>
      </c>
      <c r="D28" s="477">
        <v>11722723.890216606</v>
      </c>
      <c r="E28" s="478">
        <v>365390.9</v>
      </c>
      <c r="F28" s="477">
        <v>11357332.990216605</v>
      </c>
      <c r="G28" s="478">
        <v>1653911.6007125233</v>
      </c>
      <c r="H28" s="479">
        <v>1653911.6007125233</v>
      </c>
      <c r="I28" s="473">
        <f t="shared" si="0"/>
        <v>0</v>
      </c>
      <c r="J28" s="473"/>
      <c r="K28" s="474">
        <f t="shared" si="10"/>
        <v>1653911.6007125233</v>
      </c>
      <c r="L28" s="548">
        <f t="shared" ref="L28" si="12">IF(K28&lt;&gt;0,+G28-K28,0)</f>
        <v>0</v>
      </c>
      <c r="M28" s="474">
        <f t="shared" si="11"/>
        <v>1653911.6007125233</v>
      </c>
      <c r="N28" s="476">
        <f t="shared" ref="N28" si="13">IF(M28&lt;&gt;0,+H28-M28,0)</f>
        <v>0</v>
      </c>
      <c r="O28" s="476">
        <f t="shared" ref="O28" si="14">+N28-L28</f>
        <v>0</v>
      </c>
      <c r="P28" s="241"/>
    </row>
    <row r="29" spans="2:16">
      <c r="B29" s="160" t="str">
        <f t="shared" si="6"/>
        <v>IU</v>
      </c>
      <c r="C29" s="470">
        <f>IF(D11="","-",+C28+1)</f>
        <v>2020</v>
      </c>
      <c r="D29" s="477">
        <v>11397931.979105495</v>
      </c>
      <c r="E29" s="478">
        <v>347991.33333333331</v>
      </c>
      <c r="F29" s="477">
        <v>11049940.645772161</v>
      </c>
      <c r="G29" s="478">
        <v>1560230.0708098114</v>
      </c>
      <c r="H29" s="479">
        <v>1560230.0708098114</v>
      </c>
      <c r="I29" s="473">
        <f t="shared" si="0"/>
        <v>0</v>
      </c>
      <c r="J29" s="473"/>
      <c r="K29" s="474">
        <f t="shared" si="10"/>
        <v>1560230.0708098114</v>
      </c>
      <c r="L29" s="548">
        <f t="shared" ref="L29" si="15">IF(K29&lt;&gt;0,+G29-K29,0)</f>
        <v>0</v>
      </c>
      <c r="M29" s="474">
        <f t="shared" si="11"/>
        <v>1560230.0708098114</v>
      </c>
      <c r="N29" s="476">
        <f t="shared" si="2"/>
        <v>0</v>
      </c>
      <c r="O29" s="476">
        <f t="shared" si="3"/>
        <v>0</v>
      </c>
      <c r="P29" s="241"/>
    </row>
    <row r="30" spans="2:16">
      <c r="B30" s="160" t="str">
        <f t="shared" si="6"/>
        <v>IU</v>
      </c>
      <c r="C30" s="470">
        <f>IF(D11="","-",+C29+1)</f>
        <v>2021</v>
      </c>
      <c r="D30" s="477">
        <v>11009341.656883277</v>
      </c>
      <c r="E30" s="478">
        <v>339898.51162790699</v>
      </c>
      <c r="F30" s="477">
        <v>10669443.14525537</v>
      </c>
      <c r="G30" s="478">
        <v>1490295.5116279069</v>
      </c>
      <c r="H30" s="479">
        <v>1490295.5116279069</v>
      </c>
      <c r="I30" s="473">
        <f t="shared" si="0"/>
        <v>0</v>
      </c>
      <c r="J30" s="473"/>
      <c r="K30" s="474">
        <f t="shared" si="10"/>
        <v>1490295.5116279069</v>
      </c>
      <c r="L30" s="548">
        <f t="shared" ref="L30" si="16">IF(K30&lt;&gt;0,+G30-K30,0)</f>
        <v>0</v>
      </c>
      <c r="M30" s="474">
        <f t="shared" si="11"/>
        <v>1490295.5116279069</v>
      </c>
      <c r="N30" s="476">
        <f t="shared" si="2"/>
        <v>0</v>
      </c>
      <c r="O30" s="476">
        <f t="shared" si="3"/>
        <v>0</v>
      </c>
      <c r="P30" s="241"/>
    </row>
    <row r="31" spans="2:16">
      <c r="B31" s="160" t="str">
        <f t="shared" si="6"/>
        <v/>
      </c>
      <c r="C31" s="470">
        <f>IF(D11="","-",+C30+1)</f>
        <v>2022</v>
      </c>
      <c r="D31" s="477">
        <v>10669443.14525537</v>
      </c>
      <c r="E31" s="478">
        <v>347991.33333333331</v>
      </c>
      <c r="F31" s="477">
        <v>10321451.811922036</v>
      </c>
      <c r="G31" s="478">
        <v>1460760.3333333333</v>
      </c>
      <c r="H31" s="479">
        <v>1460760.3333333333</v>
      </c>
      <c r="I31" s="473">
        <f t="shared" si="0"/>
        <v>0</v>
      </c>
      <c r="J31" s="473"/>
      <c r="K31" s="474">
        <f t="shared" ref="K31" si="17">G31</f>
        <v>1460760.3333333333</v>
      </c>
      <c r="L31" s="548">
        <f t="shared" ref="L31" si="18">IF(K31&lt;&gt;0,+G31-K31,0)</f>
        <v>0</v>
      </c>
      <c r="M31" s="474">
        <f t="shared" ref="M31" si="19">H31</f>
        <v>1460760.3333333333</v>
      </c>
      <c r="N31" s="476">
        <f t="shared" si="2"/>
        <v>0</v>
      </c>
      <c r="O31" s="476">
        <f t="shared" si="3"/>
        <v>0</v>
      </c>
      <c r="P31" s="241"/>
    </row>
    <row r="32" spans="2:16">
      <c r="B32" s="160" t="str">
        <f t="shared" si="6"/>
        <v/>
      </c>
      <c r="C32" s="470">
        <f>IF(D11="","-",+C31+1)</f>
        <v>2023</v>
      </c>
      <c r="D32" s="477">
        <v>10321451.811922036</v>
      </c>
      <c r="E32" s="478">
        <v>374759.89743589744</v>
      </c>
      <c r="F32" s="477">
        <v>9946691.9144861382</v>
      </c>
      <c r="G32" s="478">
        <v>1561986.8974358975</v>
      </c>
      <c r="H32" s="479">
        <v>1561986.8974358975</v>
      </c>
      <c r="I32" s="473">
        <f t="shared" si="0"/>
        <v>0</v>
      </c>
      <c r="J32" s="473"/>
      <c r="K32" s="474">
        <f t="shared" ref="K32" si="20">G32</f>
        <v>1561986.8974358975</v>
      </c>
      <c r="L32" s="548">
        <f t="shared" ref="L32" si="21">IF(K32&lt;&gt;0,+G32-K32,0)</f>
        <v>0</v>
      </c>
      <c r="M32" s="474">
        <f t="shared" ref="M32" si="22">H32</f>
        <v>1561986.8974358975</v>
      </c>
      <c r="N32" s="476">
        <f t="shared" ref="N32" si="23">IF(M32&lt;&gt;0,+H32-M32,0)</f>
        <v>0</v>
      </c>
      <c r="O32" s="476">
        <f t="shared" ref="O32" si="24">+N32-L32</f>
        <v>0</v>
      </c>
      <c r="P32" s="241"/>
    </row>
    <row r="33" spans="2:16">
      <c r="B33" s="160" t="str">
        <f t="shared" si="6"/>
        <v/>
      </c>
      <c r="C33" s="631">
        <f>IF(D11="","-",+C32+1)</f>
        <v>2024</v>
      </c>
      <c r="D33" s="483">
        <f>IF(F32+SUM(E$17:E32)=D$10,F32,D$10-SUM(E$17:E32))</f>
        <v>9946691.9144861382</v>
      </c>
      <c r="E33" s="482">
        <f>IF(+I14&lt;F32,I14,D33)</f>
        <v>384622</v>
      </c>
      <c r="F33" s="483">
        <f t="shared" ref="F33:F72" si="25">+D33-E33</f>
        <v>9562069.9144861382</v>
      </c>
      <c r="G33" s="484">
        <f t="shared" ref="G33:G72" si="26">ROUND(I$12*F33,0)+E33</f>
        <v>1472214</v>
      </c>
      <c r="H33" s="453">
        <f t="shared" ref="H33:H72" si="27">ROUND(I$13*F33,0)+E33</f>
        <v>1472214</v>
      </c>
      <c r="I33" s="473">
        <f t="shared" si="0"/>
        <v>0</v>
      </c>
      <c r="J33" s="473"/>
      <c r="K33" s="485"/>
      <c r="L33" s="476">
        <f t="shared" si="1"/>
        <v>0</v>
      </c>
      <c r="M33" s="485"/>
      <c r="N33" s="476">
        <f t="shared" si="2"/>
        <v>0</v>
      </c>
      <c r="O33" s="476">
        <f t="shared" si="3"/>
        <v>0</v>
      </c>
      <c r="P33" s="241"/>
    </row>
    <row r="34" spans="2:16">
      <c r="B34" s="160" t="str">
        <f t="shared" si="6"/>
        <v/>
      </c>
      <c r="C34" s="470">
        <f>IF(D11="","-",+C33+1)</f>
        <v>2025</v>
      </c>
      <c r="D34" s="483">
        <f>IF(F33+SUM(E$17:E33)=D$10,F33,D$10-SUM(E$17:E33))</f>
        <v>9562069.9144861382</v>
      </c>
      <c r="E34" s="482">
        <f>IF(+I14&lt;F33,I14,D34)</f>
        <v>384622</v>
      </c>
      <c r="F34" s="483">
        <f t="shared" si="25"/>
        <v>9177447.9144861382</v>
      </c>
      <c r="G34" s="484">
        <f t="shared" si="26"/>
        <v>1428467</v>
      </c>
      <c r="H34" s="453">
        <f t="shared" si="27"/>
        <v>1428467</v>
      </c>
      <c r="I34" s="473">
        <f t="shared" si="0"/>
        <v>0</v>
      </c>
      <c r="J34" s="473"/>
      <c r="K34" s="485"/>
      <c r="L34" s="476">
        <f t="shared" si="1"/>
        <v>0</v>
      </c>
      <c r="M34" s="485"/>
      <c r="N34" s="476">
        <f t="shared" si="2"/>
        <v>0</v>
      </c>
      <c r="O34" s="476">
        <f t="shared" si="3"/>
        <v>0</v>
      </c>
      <c r="P34" s="241"/>
    </row>
    <row r="35" spans="2:16">
      <c r="B35" s="160" t="str">
        <f t="shared" si="6"/>
        <v/>
      </c>
      <c r="C35" s="470">
        <f>IF(D11="","-",+C34+1)</f>
        <v>2026</v>
      </c>
      <c r="D35" s="483">
        <f>IF(F34+SUM(E$17:E34)=D$10,F34,D$10-SUM(E$17:E34))</f>
        <v>9177447.9144861382</v>
      </c>
      <c r="E35" s="482">
        <f>IF(+I14&lt;F34,I14,D35)</f>
        <v>384622</v>
      </c>
      <c r="F35" s="483">
        <f t="shared" si="25"/>
        <v>8792825.9144861382</v>
      </c>
      <c r="G35" s="484">
        <f t="shared" si="26"/>
        <v>1384720</v>
      </c>
      <c r="H35" s="453">
        <f t="shared" si="27"/>
        <v>1384720</v>
      </c>
      <c r="I35" s="473">
        <f t="shared" si="0"/>
        <v>0</v>
      </c>
      <c r="J35" s="473"/>
      <c r="K35" s="485"/>
      <c r="L35" s="476">
        <f t="shared" si="1"/>
        <v>0</v>
      </c>
      <c r="M35" s="485"/>
      <c r="N35" s="476">
        <f t="shared" si="2"/>
        <v>0</v>
      </c>
      <c r="O35" s="476">
        <f t="shared" si="3"/>
        <v>0</v>
      </c>
      <c r="P35" s="241"/>
    </row>
    <row r="36" spans="2:16">
      <c r="B36" s="160" t="str">
        <f t="shared" si="6"/>
        <v/>
      </c>
      <c r="C36" s="470">
        <f>IF(D11="","-",+C35+1)</f>
        <v>2027</v>
      </c>
      <c r="D36" s="483">
        <f>IF(F35+SUM(E$17:E35)=D$10,F35,D$10-SUM(E$17:E35))</f>
        <v>8792825.9144861382</v>
      </c>
      <c r="E36" s="482">
        <f>IF(+I14&lt;F35,I14,D36)</f>
        <v>384622</v>
      </c>
      <c r="F36" s="483">
        <f t="shared" si="25"/>
        <v>8408203.9144861382</v>
      </c>
      <c r="G36" s="484">
        <f t="shared" si="26"/>
        <v>1340973</v>
      </c>
      <c r="H36" s="453">
        <f t="shared" si="27"/>
        <v>1340973</v>
      </c>
      <c r="I36" s="473">
        <f t="shared" si="0"/>
        <v>0</v>
      </c>
      <c r="J36" s="473"/>
      <c r="K36" s="485"/>
      <c r="L36" s="476">
        <f t="shared" si="1"/>
        <v>0</v>
      </c>
      <c r="M36" s="485"/>
      <c r="N36" s="476">
        <f t="shared" si="2"/>
        <v>0</v>
      </c>
      <c r="O36" s="476">
        <f t="shared" si="3"/>
        <v>0</v>
      </c>
      <c r="P36" s="241"/>
    </row>
    <row r="37" spans="2:16">
      <c r="B37" s="160" t="str">
        <f t="shared" si="6"/>
        <v/>
      </c>
      <c r="C37" s="470">
        <f>IF(D11="","-",+C36+1)</f>
        <v>2028</v>
      </c>
      <c r="D37" s="483">
        <f>IF(F36+SUM(E$17:E36)=D$10,F36,D$10-SUM(E$17:E36))</f>
        <v>8408203.9144861382</v>
      </c>
      <c r="E37" s="482">
        <f>IF(+I14&lt;F36,I14,D37)</f>
        <v>384622</v>
      </c>
      <c r="F37" s="483">
        <f t="shared" si="25"/>
        <v>8023581.9144861382</v>
      </c>
      <c r="G37" s="484">
        <f t="shared" si="26"/>
        <v>1297226</v>
      </c>
      <c r="H37" s="453">
        <f t="shared" si="27"/>
        <v>1297226</v>
      </c>
      <c r="I37" s="473">
        <f t="shared" si="0"/>
        <v>0</v>
      </c>
      <c r="J37" s="473"/>
      <c r="K37" s="485"/>
      <c r="L37" s="476">
        <f t="shared" si="1"/>
        <v>0</v>
      </c>
      <c r="M37" s="485"/>
      <c r="N37" s="476">
        <f t="shared" si="2"/>
        <v>0</v>
      </c>
      <c r="O37" s="476">
        <f t="shared" si="3"/>
        <v>0</v>
      </c>
      <c r="P37" s="241"/>
    </row>
    <row r="38" spans="2:16">
      <c r="B38" s="160" t="str">
        <f t="shared" si="6"/>
        <v/>
      </c>
      <c r="C38" s="470">
        <f>IF(D11="","-",+C37+1)</f>
        <v>2029</v>
      </c>
      <c r="D38" s="483">
        <f>IF(F37+SUM(E$17:E37)=D$10,F37,D$10-SUM(E$17:E37))</f>
        <v>8023581.9144861382</v>
      </c>
      <c r="E38" s="482">
        <f>IF(+I14&lt;F37,I14,D38)</f>
        <v>384622</v>
      </c>
      <c r="F38" s="483">
        <f t="shared" si="25"/>
        <v>7638959.9144861382</v>
      </c>
      <c r="G38" s="484">
        <f t="shared" si="26"/>
        <v>1253479</v>
      </c>
      <c r="H38" s="453">
        <f t="shared" si="27"/>
        <v>1253479</v>
      </c>
      <c r="I38" s="473">
        <f t="shared" si="0"/>
        <v>0</v>
      </c>
      <c r="J38" s="473"/>
      <c r="K38" s="485"/>
      <c r="L38" s="476">
        <f t="shared" si="1"/>
        <v>0</v>
      </c>
      <c r="M38" s="485"/>
      <c r="N38" s="476">
        <f t="shared" si="2"/>
        <v>0</v>
      </c>
      <c r="O38" s="476">
        <f t="shared" si="3"/>
        <v>0</v>
      </c>
      <c r="P38" s="241"/>
    </row>
    <row r="39" spans="2:16">
      <c r="B39" s="160" t="str">
        <f t="shared" si="6"/>
        <v/>
      </c>
      <c r="C39" s="470">
        <f>IF(D11="","-",+C38+1)</f>
        <v>2030</v>
      </c>
      <c r="D39" s="483">
        <f>IF(F38+SUM(E$17:E38)=D$10,F38,D$10-SUM(E$17:E38))</f>
        <v>7638959.9144861382</v>
      </c>
      <c r="E39" s="482">
        <f>IF(+I14&lt;F38,I14,D39)</f>
        <v>384622</v>
      </c>
      <c r="F39" s="483">
        <f t="shared" si="25"/>
        <v>7254337.9144861382</v>
      </c>
      <c r="G39" s="484">
        <f t="shared" si="26"/>
        <v>1209732</v>
      </c>
      <c r="H39" s="453">
        <f t="shared" si="27"/>
        <v>1209732</v>
      </c>
      <c r="I39" s="473">
        <f t="shared" si="0"/>
        <v>0</v>
      </c>
      <c r="J39" s="473"/>
      <c r="K39" s="485"/>
      <c r="L39" s="476">
        <f t="shared" si="1"/>
        <v>0</v>
      </c>
      <c r="M39" s="485"/>
      <c r="N39" s="476">
        <f t="shared" si="2"/>
        <v>0</v>
      </c>
      <c r="O39" s="476">
        <f t="shared" si="3"/>
        <v>0</v>
      </c>
      <c r="P39" s="241"/>
    </row>
    <row r="40" spans="2:16">
      <c r="B40" s="160" t="str">
        <f t="shared" si="6"/>
        <v/>
      </c>
      <c r="C40" s="470">
        <f>IF(D11="","-",+C39+1)</f>
        <v>2031</v>
      </c>
      <c r="D40" s="483">
        <f>IF(F39+SUM(E$17:E39)=D$10,F39,D$10-SUM(E$17:E39))</f>
        <v>7254337.9144861382</v>
      </c>
      <c r="E40" s="482">
        <f>IF(+I14&lt;F39,I14,D40)</f>
        <v>384622</v>
      </c>
      <c r="F40" s="483">
        <f t="shared" si="25"/>
        <v>6869715.9144861382</v>
      </c>
      <c r="G40" s="484">
        <f t="shared" si="26"/>
        <v>1165985</v>
      </c>
      <c r="H40" s="453">
        <f t="shared" si="27"/>
        <v>1165985</v>
      </c>
      <c r="I40" s="473">
        <f t="shared" si="0"/>
        <v>0</v>
      </c>
      <c r="J40" s="473"/>
      <c r="K40" s="485"/>
      <c r="L40" s="476">
        <f t="shared" si="1"/>
        <v>0</v>
      </c>
      <c r="M40" s="485"/>
      <c r="N40" s="476">
        <f t="shared" si="2"/>
        <v>0</v>
      </c>
      <c r="O40" s="476">
        <f t="shared" si="3"/>
        <v>0</v>
      </c>
      <c r="P40" s="241"/>
    </row>
    <row r="41" spans="2:16">
      <c r="B41" s="160" t="str">
        <f t="shared" si="6"/>
        <v/>
      </c>
      <c r="C41" s="470">
        <f>IF(D11="","-",+C40+1)</f>
        <v>2032</v>
      </c>
      <c r="D41" s="483">
        <f>IF(F40+SUM(E$17:E40)=D$10,F40,D$10-SUM(E$17:E40))</f>
        <v>6869715.9144861382</v>
      </c>
      <c r="E41" s="482">
        <f>IF(+I14&lt;F40,I14,D41)</f>
        <v>384622</v>
      </c>
      <c r="F41" s="483">
        <f t="shared" si="25"/>
        <v>6485093.9144861382</v>
      </c>
      <c r="G41" s="484">
        <f t="shared" si="26"/>
        <v>1122238</v>
      </c>
      <c r="H41" s="453">
        <f t="shared" si="27"/>
        <v>1122238</v>
      </c>
      <c r="I41" s="473">
        <f t="shared" si="0"/>
        <v>0</v>
      </c>
      <c r="J41" s="473"/>
      <c r="K41" s="485"/>
      <c r="L41" s="476">
        <f t="shared" si="1"/>
        <v>0</v>
      </c>
      <c r="M41" s="485"/>
      <c r="N41" s="476">
        <f t="shared" si="2"/>
        <v>0</v>
      </c>
      <c r="O41" s="476">
        <f t="shared" si="3"/>
        <v>0</v>
      </c>
      <c r="P41" s="241"/>
    </row>
    <row r="42" spans="2:16">
      <c r="B42" s="160" t="str">
        <f t="shared" si="6"/>
        <v/>
      </c>
      <c r="C42" s="470">
        <f>IF(D11="","-",+C41+1)</f>
        <v>2033</v>
      </c>
      <c r="D42" s="483">
        <f>IF(F41+SUM(E$17:E41)=D$10,F41,D$10-SUM(E$17:E41))</f>
        <v>6485093.9144861382</v>
      </c>
      <c r="E42" s="482">
        <f>IF(+I14&lt;F41,I14,D42)</f>
        <v>384622</v>
      </c>
      <c r="F42" s="483">
        <f t="shared" si="25"/>
        <v>6100471.9144861382</v>
      </c>
      <c r="G42" s="484">
        <f t="shared" si="26"/>
        <v>1078491</v>
      </c>
      <c r="H42" s="453">
        <f t="shared" si="27"/>
        <v>1078491</v>
      </c>
      <c r="I42" s="473">
        <f t="shared" si="0"/>
        <v>0</v>
      </c>
      <c r="J42" s="473"/>
      <c r="K42" s="485"/>
      <c r="L42" s="476">
        <f t="shared" si="1"/>
        <v>0</v>
      </c>
      <c r="M42" s="485"/>
      <c r="N42" s="476">
        <f t="shared" si="2"/>
        <v>0</v>
      </c>
      <c r="O42" s="476">
        <f t="shared" si="3"/>
        <v>0</v>
      </c>
      <c r="P42" s="241"/>
    </row>
    <row r="43" spans="2:16">
      <c r="B43" s="160" t="str">
        <f t="shared" si="6"/>
        <v/>
      </c>
      <c r="C43" s="470">
        <f>IF(D11="","-",+C42+1)</f>
        <v>2034</v>
      </c>
      <c r="D43" s="483">
        <f>IF(F42+SUM(E$17:E42)=D$10,F42,D$10-SUM(E$17:E42))</f>
        <v>6100471.9144861382</v>
      </c>
      <c r="E43" s="482">
        <f>IF(+I14&lt;F42,I14,D43)</f>
        <v>384622</v>
      </c>
      <c r="F43" s="483">
        <f t="shared" si="25"/>
        <v>5715849.9144861382</v>
      </c>
      <c r="G43" s="484">
        <f t="shared" si="26"/>
        <v>1034744</v>
      </c>
      <c r="H43" s="453">
        <f t="shared" si="27"/>
        <v>1034744</v>
      </c>
      <c r="I43" s="473">
        <f t="shared" si="0"/>
        <v>0</v>
      </c>
      <c r="J43" s="473"/>
      <c r="K43" s="485"/>
      <c r="L43" s="476">
        <f t="shared" si="1"/>
        <v>0</v>
      </c>
      <c r="M43" s="485"/>
      <c r="N43" s="476">
        <f t="shared" si="2"/>
        <v>0</v>
      </c>
      <c r="O43" s="476">
        <f t="shared" si="3"/>
        <v>0</v>
      </c>
      <c r="P43" s="241"/>
    </row>
    <row r="44" spans="2:16">
      <c r="B44" s="160" t="str">
        <f t="shared" si="6"/>
        <v/>
      </c>
      <c r="C44" s="470">
        <f>IF(D11="","-",+C43+1)</f>
        <v>2035</v>
      </c>
      <c r="D44" s="483">
        <f>IF(F43+SUM(E$17:E43)=D$10,F43,D$10-SUM(E$17:E43))</f>
        <v>5715849.9144861382</v>
      </c>
      <c r="E44" s="482">
        <f>IF(+I14&lt;F43,I14,D44)</f>
        <v>384622</v>
      </c>
      <c r="F44" s="483">
        <f t="shared" si="25"/>
        <v>5331227.9144861382</v>
      </c>
      <c r="G44" s="484">
        <f t="shared" si="26"/>
        <v>990997</v>
      </c>
      <c r="H44" s="453">
        <f t="shared" si="27"/>
        <v>990997</v>
      </c>
      <c r="I44" s="473">
        <f t="shared" si="0"/>
        <v>0</v>
      </c>
      <c r="J44" s="473"/>
      <c r="K44" s="485"/>
      <c r="L44" s="476">
        <f t="shared" si="1"/>
        <v>0</v>
      </c>
      <c r="M44" s="485"/>
      <c r="N44" s="476">
        <f t="shared" si="2"/>
        <v>0</v>
      </c>
      <c r="O44" s="476">
        <f t="shared" si="3"/>
        <v>0</v>
      </c>
      <c r="P44" s="241"/>
    </row>
    <row r="45" spans="2:16">
      <c r="B45" s="160" t="str">
        <f t="shared" si="6"/>
        <v/>
      </c>
      <c r="C45" s="470">
        <f>IF(D11="","-",+C44+1)</f>
        <v>2036</v>
      </c>
      <c r="D45" s="483">
        <f>IF(F44+SUM(E$17:E44)=D$10,F44,D$10-SUM(E$17:E44))</f>
        <v>5331227.9144861382</v>
      </c>
      <c r="E45" s="482">
        <f>IF(+I14&lt;F44,I14,D45)</f>
        <v>384622</v>
      </c>
      <c r="F45" s="483">
        <f t="shared" si="25"/>
        <v>4946605.9144861382</v>
      </c>
      <c r="G45" s="484">
        <f t="shared" si="26"/>
        <v>947250</v>
      </c>
      <c r="H45" s="453">
        <f t="shared" si="27"/>
        <v>947250</v>
      </c>
      <c r="I45" s="473">
        <f t="shared" si="0"/>
        <v>0</v>
      </c>
      <c r="J45" s="473"/>
      <c r="K45" s="485"/>
      <c r="L45" s="476">
        <f t="shared" si="1"/>
        <v>0</v>
      </c>
      <c r="M45" s="485"/>
      <c r="N45" s="476">
        <f t="shared" si="2"/>
        <v>0</v>
      </c>
      <c r="O45" s="476">
        <f t="shared" si="3"/>
        <v>0</v>
      </c>
      <c r="P45" s="241"/>
    </row>
    <row r="46" spans="2:16">
      <c r="B46" s="160" t="str">
        <f t="shared" si="6"/>
        <v/>
      </c>
      <c r="C46" s="470">
        <f>IF(D11="","-",+C45+1)</f>
        <v>2037</v>
      </c>
      <c r="D46" s="483">
        <f>IF(F45+SUM(E$17:E45)=D$10,F45,D$10-SUM(E$17:E45))</f>
        <v>4946605.9144861382</v>
      </c>
      <c r="E46" s="482">
        <f>IF(+I14&lt;F45,I14,D46)</f>
        <v>384622</v>
      </c>
      <c r="F46" s="483">
        <f t="shared" si="25"/>
        <v>4561983.9144861382</v>
      </c>
      <c r="G46" s="484">
        <f t="shared" si="26"/>
        <v>903503</v>
      </c>
      <c r="H46" s="453">
        <f t="shared" si="27"/>
        <v>903503</v>
      </c>
      <c r="I46" s="473">
        <f t="shared" si="0"/>
        <v>0</v>
      </c>
      <c r="J46" s="473"/>
      <c r="K46" s="485"/>
      <c r="L46" s="476">
        <f t="shared" si="1"/>
        <v>0</v>
      </c>
      <c r="M46" s="485"/>
      <c r="N46" s="476">
        <f t="shared" si="2"/>
        <v>0</v>
      </c>
      <c r="O46" s="476">
        <f t="shared" si="3"/>
        <v>0</v>
      </c>
      <c r="P46" s="241"/>
    </row>
    <row r="47" spans="2:16">
      <c r="B47" s="160" t="str">
        <f t="shared" si="6"/>
        <v/>
      </c>
      <c r="C47" s="470">
        <f>IF(D11="","-",+C46+1)</f>
        <v>2038</v>
      </c>
      <c r="D47" s="483">
        <f>IF(F46+SUM(E$17:E46)=D$10,F46,D$10-SUM(E$17:E46))</f>
        <v>4561983.9144861382</v>
      </c>
      <c r="E47" s="482">
        <f>IF(+I14&lt;F46,I14,D47)</f>
        <v>384622</v>
      </c>
      <c r="F47" s="483">
        <f t="shared" si="25"/>
        <v>4177361.9144861382</v>
      </c>
      <c r="G47" s="484">
        <f t="shared" si="26"/>
        <v>859756</v>
      </c>
      <c r="H47" s="453">
        <f t="shared" si="27"/>
        <v>859756</v>
      </c>
      <c r="I47" s="473">
        <f t="shared" si="0"/>
        <v>0</v>
      </c>
      <c r="J47" s="473"/>
      <c r="K47" s="485"/>
      <c r="L47" s="476">
        <f t="shared" si="1"/>
        <v>0</v>
      </c>
      <c r="M47" s="485"/>
      <c r="N47" s="476">
        <f t="shared" si="2"/>
        <v>0</v>
      </c>
      <c r="O47" s="476">
        <f t="shared" si="3"/>
        <v>0</v>
      </c>
      <c r="P47" s="241"/>
    </row>
    <row r="48" spans="2:16">
      <c r="B48" s="160" t="str">
        <f t="shared" si="6"/>
        <v/>
      </c>
      <c r="C48" s="470">
        <f>IF(D11="","-",+C47+1)</f>
        <v>2039</v>
      </c>
      <c r="D48" s="483">
        <f>IF(F47+SUM(E$17:E47)=D$10,F47,D$10-SUM(E$17:E47))</f>
        <v>4177361.9144861382</v>
      </c>
      <c r="E48" s="482">
        <f>IF(+I14&lt;F47,I14,D48)</f>
        <v>384622</v>
      </c>
      <c r="F48" s="483">
        <f t="shared" si="25"/>
        <v>3792739.9144861382</v>
      </c>
      <c r="G48" s="484">
        <f t="shared" si="26"/>
        <v>816009</v>
      </c>
      <c r="H48" s="453">
        <f t="shared" si="27"/>
        <v>816009</v>
      </c>
      <c r="I48" s="473">
        <f t="shared" si="0"/>
        <v>0</v>
      </c>
      <c r="J48" s="473"/>
      <c r="K48" s="485"/>
      <c r="L48" s="476">
        <f t="shared" si="1"/>
        <v>0</v>
      </c>
      <c r="M48" s="485"/>
      <c r="N48" s="476">
        <f t="shared" si="2"/>
        <v>0</v>
      </c>
      <c r="O48" s="476">
        <f t="shared" si="3"/>
        <v>0</v>
      </c>
      <c r="P48" s="241"/>
    </row>
    <row r="49" spans="2:16">
      <c r="B49" s="160" t="str">
        <f t="shared" si="6"/>
        <v/>
      </c>
      <c r="C49" s="470">
        <f>IF(D11="","-",+C48+1)</f>
        <v>2040</v>
      </c>
      <c r="D49" s="483">
        <f>IF(F48+SUM(E$17:E48)=D$10,F48,D$10-SUM(E$17:E48))</f>
        <v>3792739.9144861382</v>
      </c>
      <c r="E49" s="482">
        <f>IF(+I14&lt;F48,I14,D49)</f>
        <v>384622</v>
      </c>
      <c r="F49" s="483">
        <f t="shared" si="25"/>
        <v>3408117.9144861382</v>
      </c>
      <c r="G49" s="484">
        <f t="shared" si="26"/>
        <v>772262</v>
      </c>
      <c r="H49" s="453">
        <f t="shared" si="27"/>
        <v>772262</v>
      </c>
      <c r="I49" s="473">
        <f t="shared" ref="I49:I72" si="28">H49-G49</f>
        <v>0</v>
      </c>
      <c r="J49" s="473"/>
      <c r="K49" s="485"/>
      <c r="L49" s="476">
        <f t="shared" ref="L49:L72" si="29">IF(K49&lt;&gt;0,+G49-K49,0)</f>
        <v>0</v>
      </c>
      <c r="M49" s="485"/>
      <c r="N49" s="476">
        <f t="shared" ref="N49:N72" si="30">IF(M49&lt;&gt;0,+H49-M49,0)</f>
        <v>0</v>
      </c>
      <c r="O49" s="476">
        <f t="shared" ref="O49:O72" si="31">+N49-L49</f>
        <v>0</v>
      </c>
      <c r="P49" s="241"/>
    </row>
    <row r="50" spans="2:16">
      <c r="B50" s="160" t="str">
        <f t="shared" si="6"/>
        <v/>
      </c>
      <c r="C50" s="470">
        <f>IF(D11="","-",+C49+1)</f>
        <v>2041</v>
      </c>
      <c r="D50" s="483">
        <f>IF(F49+SUM(E$17:E49)=D$10,F49,D$10-SUM(E$17:E49))</f>
        <v>3408117.9144861382</v>
      </c>
      <c r="E50" s="482">
        <f>IF(+I14&lt;F49,I14,D50)</f>
        <v>384622</v>
      </c>
      <c r="F50" s="483">
        <f t="shared" si="25"/>
        <v>3023495.9144861382</v>
      </c>
      <c r="G50" s="484">
        <f t="shared" si="26"/>
        <v>728515</v>
      </c>
      <c r="H50" s="453">
        <f t="shared" si="27"/>
        <v>728515</v>
      </c>
      <c r="I50" s="473">
        <f t="shared" si="28"/>
        <v>0</v>
      </c>
      <c r="J50" s="473"/>
      <c r="K50" s="485"/>
      <c r="L50" s="476">
        <f t="shared" si="29"/>
        <v>0</v>
      </c>
      <c r="M50" s="485"/>
      <c r="N50" s="476">
        <f t="shared" si="30"/>
        <v>0</v>
      </c>
      <c r="O50" s="476">
        <f t="shared" si="31"/>
        <v>0</v>
      </c>
      <c r="P50" s="241"/>
    </row>
    <row r="51" spans="2:16">
      <c r="B51" s="160" t="str">
        <f t="shared" si="6"/>
        <v/>
      </c>
      <c r="C51" s="470">
        <f>IF(D11="","-",+C50+1)</f>
        <v>2042</v>
      </c>
      <c r="D51" s="483">
        <f>IF(F50+SUM(E$17:E50)=D$10,F50,D$10-SUM(E$17:E50))</f>
        <v>3023495.9144861382</v>
      </c>
      <c r="E51" s="482">
        <f>IF(+I14&lt;F50,I14,D51)</f>
        <v>384622</v>
      </c>
      <c r="F51" s="483">
        <f t="shared" si="25"/>
        <v>2638873.9144861382</v>
      </c>
      <c r="G51" s="484">
        <f t="shared" si="26"/>
        <v>684768</v>
      </c>
      <c r="H51" s="453">
        <f t="shared" si="27"/>
        <v>684768</v>
      </c>
      <c r="I51" s="473">
        <f t="shared" si="28"/>
        <v>0</v>
      </c>
      <c r="J51" s="473"/>
      <c r="K51" s="485"/>
      <c r="L51" s="476">
        <f t="shared" si="29"/>
        <v>0</v>
      </c>
      <c r="M51" s="485"/>
      <c r="N51" s="476">
        <f t="shared" si="30"/>
        <v>0</v>
      </c>
      <c r="O51" s="476">
        <f t="shared" si="31"/>
        <v>0</v>
      </c>
      <c r="P51" s="241"/>
    </row>
    <row r="52" spans="2:16">
      <c r="B52" s="160" t="str">
        <f t="shared" si="6"/>
        <v/>
      </c>
      <c r="C52" s="470">
        <f>IF(D11="","-",+C51+1)</f>
        <v>2043</v>
      </c>
      <c r="D52" s="483">
        <f>IF(F51+SUM(E$17:E51)=D$10,F51,D$10-SUM(E$17:E51))</f>
        <v>2638873.9144861382</v>
      </c>
      <c r="E52" s="482">
        <f>IF(+I14&lt;F51,I14,D52)</f>
        <v>384622</v>
      </c>
      <c r="F52" s="483">
        <f t="shared" si="25"/>
        <v>2254251.9144861382</v>
      </c>
      <c r="G52" s="484">
        <f t="shared" si="26"/>
        <v>641021</v>
      </c>
      <c r="H52" s="453">
        <f t="shared" si="27"/>
        <v>641021</v>
      </c>
      <c r="I52" s="473">
        <f t="shared" si="28"/>
        <v>0</v>
      </c>
      <c r="J52" s="473"/>
      <c r="K52" s="485"/>
      <c r="L52" s="476">
        <f t="shared" si="29"/>
        <v>0</v>
      </c>
      <c r="M52" s="485"/>
      <c r="N52" s="476">
        <f t="shared" si="30"/>
        <v>0</v>
      </c>
      <c r="O52" s="476">
        <f t="shared" si="31"/>
        <v>0</v>
      </c>
      <c r="P52" s="241"/>
    </row>
    <row r="53" spans="2:16">
      <c r="B53" s="160" t="str">
        <f t="shared" si="6"/>
        <v/>
      </c>
      <c r="C53" s="470">
        <f>IF(D11="","-",+C52+1)</f>
        <v>2044</v>
      </c>
      <c r="D53" s="483">
        <f>IF(F52+SUM(E$17:E52)=D$10,F52,D$10-SUM(E$17:E52))</f>
        <v>2254251.9144861382</v>
      </c>
      <c r="E53" s="482">
        <f>IF(+I14&lt;F52,I14,D53)</f>
        <v>384622</v>
      </c>
      <c r="F53" s="483">
        <f t="shared" si="25"/>
        <v>1869629.9144861382</v>
      </c>
      <c r="G53" s="484">
        <f t="shared" si="26"/>
        <v>597274</v>
      </c>
      <c r="H53" s="453">
        <f t="shared" si="27"/>
        <v>597274</v>
      </c>
      <c r="I53" s="473">
        <f t="shared" si="28"/>
        <v>0</v>
      </c>
      <c r="J53" s="473"/>
      <c r="K53" s="485"/>
      <c r="L53" s="476">
        <f t="shared" si="29"/>
        <v>0</v>
      </c>
      <c r="M53" s="485"/>
      <c r="N53" s="476">
        <f t="shared" si="30"/>
        <v>0</v>
      </c>
      <c r="O53" s="476">
        <f t="shared" si="31"/>
        <v>0</v>
      </c>
      <c r="P53" s="241"/>
    </row>
    <row r="54" spans="2:16">
      <c r="B54" s="160" t="str">
        <f t="shared" si="6"/>
        <v/>
      </c>
      <c r="C54" s="470">
        <f>IF(D11="","-",+C53+1)</f>
        <v>2045</v>
      </c>
      <c r="D54" s="483">
        <f>IF(F53+SUM(E$17:E53)=D$10,F53,D$10-SUM(E$17:E53))</f>
        <v>1869629.9144861382</v>
      </c>
      <c r="E54" s="482">
        <f>IF(+I14&lt;F53,I14,D54)</f>
        <v>384622</v>
      </c>
      <c r="F54" s="483">
        <f t="shared" si="25"/>
        <v>1485007.9144861382</v>
      </c>
      <c r="G54" s="484">
        <f t="shared" si="26"/>
        <v>553527</v>
      </c>
      <c r="H54" s="453">
        <f t="shared" si="27"/>
        <v>553527</v>
      </c>
      <c r="I54" s="473">
        <f t="shared" si="28"/>
        <v>0</v>
      </c>
      <c r="J54" s="473"/>
      <c r="K54" s="485"/>
      <c r="L54" s="476">
        <f t="shared" si="29"/>
        <v>0</v>
      </c>
      <c r="M54" s="485"/>
      <c r="N54" s="476">
        <f t="shared" si="30"/>
        <v>0</v>
      </c>
      <c r="O54" s="476">
        <f t="shared" si="31"/>
        <v>0</v>
      </c>
      <c r="P54" s="241"/>
    </row>
    <row r="55" spans="2:16">
      <c r="B55" s="160" t="str">
        <f t="shared" si="6"/>
        <v/>
      </c>
      <c r="C55" s="470">
        <f>IF(D11="","-",+C54+1)</f>
        <v>2046</v>
      </c>
      <c r="D55" s="483">
        <f>IF(F54+SUM(E$17:E54)=D$10,F54,D$10-SUM(E$17:E54))</f>
        <v>1485007.9144861382</v>
      </c>
      <c r="E55" s="482">
        <f>IF(+I14&lt;F54,I14,D55)</f>
        <v>384622</v>
      </c>
      <c r="F55" s="483">
        <f t="shared" si="25"/>
        <v>1100385.9144861382</v>
      </c>
      <c r="G55" s="484">
        <f t="shared" si="26"/>
        <v>509780</v>
      </c>
      <c r="H55" s="453">
        <f t="shared" si="27"/>
        <v>509780</v>
      </c>
      <c r="I55" s="473">
        <f t="shared" si="28"/>
        <v>0</v>
      </c>
      <c r="J55" s="473"/>
      <c r="K55" s="485"/>
      <c r="L55" s="476">
        <f t="shared" si="29"/>
        <v>0</v>
      </c>
      <c r="M55" s="485"/>
      <c r="N55" s="476">
        <f t="shared" si="30"/>
        <v>0</v>
      </c>
      <c r="O55" s="476">
        <f t="shared" si="31"/>
        <v>0</v>
      </c>
      <c r="P55" s="241"/>
    </row>
    <row r="56" spans="2:16">
      <c r="B56" s="160" t="str">
        <f t="shared" si="6"/>
        <v/>
      </c>
      <c r="C56" s="470">
        <f>IF(D11="","-",+C55+1)</f>
        <v>2047</v>
      </c>
      <c r="D56" s="483">
        <f>IF(F55+SUM(E$17:E55)=D$10,F55,D$10-SUM(E$17:E55))</f>
        <v>1100385.9144861382</v>
      </c>
      <c r="E56" s="482">
        <f>IF(+I14&lt;F55,I14,D56)</f>
        <v>384622</v>
      </c>
      <c r="F56" s="483">
        <f t="shared" si="25"/>
        <v>715763.91448613815</v>
      </c>
      <c r="G56" s="484">
        <f t="shared" si="26"/>
        <v>466033</v>
      </c>
      <c r="H56" s="453">
        <f t="shared" si="27"/>
        <v>466033</v>
      </c>
      <c r="I56" s="473">
        <f t="shared" si="28"/>
        <v>0</v>
      </c>
      <c r="J56" s="473"/>
      <c r="K56" s="485"/>
      <c r="L56" s="476">
        <f t="shared" si="29"/>
        <v>0</v>
      </c>
      <c r="M56" s="485"/>
      <c r="N56" s="476">
        <f t="shared" si="30"/>
        <v>0</v>
      </c>
      <c r="O56" s="476">
        <f t="shared" si="31"/>
        <v>0</v>
      </c>
      <c r="P56" s="241"/>
    </row>
    <row r="57" spans="2:16">
      <c r="B57" s="160" t="str">
        <f t="shared" si="6"/>
        <v/>
      </c>
      <c r="C57" s="470">
        <f>IF(D11="","-",+C56+1)</f>
        <v>2048</v>
      </c>
      <c r="D57" s="483">
        <f>IF(F56+SUM(E$17:E56)=D$10,F56,D$10-SUM(E$17:E56))</f>
        <v>715763.91448613815</v>
      </c>
      <c r="E57" s="482">
        <f>IF(+I14&lt;F56,I14,D57)</f>
        <v>384622</v>
      </c>
      <c r="F57" s="483">
        <f t="shared" si="25"/>
        <v>331141.91448613815</v>
      </c>
      <c r="G57" s="484">
        <f t="shared" si="26"/>
        <v>422286</v>
      </c>
      <c r="H57" s="453">
        <f t="shared" si="27"/>
        <v>422286</v>
      </c>
      <c r="I57" s="473">
        <f t="shared" si="28"/>
        <v>0</v>
      </c>
      <c r="J57" s="473"/>
      <c r="K57" s="485"/>
      <c r="L57" s="476">
        <f t="shared" si="29"/>
        <v>0</v>
      </c>
      <c r="M57" s="485"/>
      <c r="N57" s="476">
        <f t="shared" si="30"/>
        <v>0</v>
      </c>
      <c r="O57" s="476">
        <f t="shared" si="31"/>
        <v>0</v>
      </c>
      <c r="P57" s="241"/>
    </row>
    <row r="58" spans="2:16">
      <c r="B58" s="160" t="str">
        <f t="shared" si="6"/>
        <v/>
      </c>
      <c r="C58" s="470">
        <f>IF(D11="","-",+C57+1)</f>
        <v>2049</v>
      </c>
      <c r="D58" s="483">
        <f>IF(F57+SUM(E$17:E57)=D$10,F57,D$10-SUM(E$17:E57))</f>
        <v>331141.91448613815</v>
      </c>
      <c r="E58" s="482">
        <f>IF(+I14&lt;F57,I14,D58)</f>
        <v>331141.91448613815</v>
      </c>
      <c r="F58" s="483">
        <f t="shared" si="25"/>
        <v>0</v>
      </c>
      <c r="G58" s="484">
        <f t="shared" si="26"/>
        <v>331141.91448613815</v>
      </c>
      <c r="H58" s="453">
        <f t="shared" si="27"/>
        <v>331141.91448613815</v>
      </c>
      <c r="I58" s="473">
        <f t="shared" si="28"/>
        <v>0</v>
      </c>
      <c r="J58" s="473"/>
      <c r="K58" s="485"/>
      <c r="L58" s="476">
        <f t="shared" si="29"/>
        <v>0</v>
      </c>
      <c r="M58" s="485"/>
      <c r="N58" s="476">
        <f t="shared" si="30"/>
        <v>0</v>
      </c>
      <c r="O58" s="476">
        <f t="shared" si="31"/>
        <v>0</v>
      </c>
      <c r="P58" s="241"/>
    </row>
    <row r="59" spans="2:16">
      <c r="B59" s="160" t="str">
        <f t="shared" si="6"/>
        <v/>
      </c>
      <c r="C59" s="470">
        <f>IF(D11="","-",+C58+1)</f>
        <v>2050</v>
      </c>
      <c r="D59" s="483">
        <f>IF(F58+SUM(E$17:E58)=D$10,F58,D$10-SUM(E$17:E58))</f>
        <v>0</v>
      </c>
      <c r="E59" s="482">
        <f>IF(+I14&lt;F58,I14,D59)</f>
        <v>0</v>
      </c>
      <c r="F59" s="483">
        <f t="shared" si="25"/>
        <v>0</v>
      </c>
      <c r="G59" s="484">
        <f t="shared" si="26"/>
        <v>0</v>
      </c>
      <c r="H59" s="453">
        <f t="shared" si="27"/>
        <v>0</v>
      </c>
      <c r="I59" s="473">
        <f t="shared" si="28"/>
        <v>0</v>
      </c>
      <c r="J59" s="473"/>
      <c r="K59" s="485"/>
      <c r="L59" s="476">
        <f t="shared" si="29"/>
        <v>0</v>
      </c>
      <c r="M59" s="485"/>
      <c r="N59" s="476">
        <f t="shared" si="30"/>
        <v>0</v>
      </c>
      <c r="O59" s="476">
        <f t="shared" si="31"/>
        <v>0</v>
      </c>
      <c r="P59" s="241"/>
    </row>
    <row r="60" spans="2:16">
      <c r="B60" s="160" t="str">
        <f t="shared" si="6"/>
        <v/>
      </c>
      <c r="C60" s="470">
        <f>IF(D11="","-",+C59+1)</f>
        <v>2051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5"/>
        <v>0</v>
      </c>
      <c r="G60" s="484">
        <f t="shared" si="26"/>
        <v>0</v>
      </c>
      <c r="H60" s="453">
        <f t="shared" si="27"/>
        <v>0</v>
      </c>
      <c r="I60" s="473">
        <f t="shared" si="28"/>
        <v>0</v>
      </c>
      <c r="J60" s="473"/>
      <c r="K60" s="485"/>
      <c r="L60" s="476">
        <f t="shared" si="29"/>
        <v>0</v>
      </c>
      <c r="M60" s="485"/>
      <c r="N60" s="476">
        <f t="shared" si="30"/>
        <v>0</v>
      </c>
      <c r="O60" s="476">
        <f t="shared" si="31"/>
        <v>0</v>
      </c>
      <c r="P60" s="241"/>
    </row>
    <row r="61" spans="2:16">
      <c r="B61" s="160" t="str">
        <f t="shared" si="6"/>
        <v/>
      </c>
      <c r="C61" s="470">
        <f>IF(D11="","-",+C60+1)</f>
        <v>2052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5"/>
        <v>0</v>
      </c>
      <c r="G61" s="486">
        <f t="shared" si="26"/>
        <v>0</v>
      </c>
      <c r="H61" s="453">
        <f t="shared" si="27"/>
        <v>0</v>
      </c>
      <c r="I61" s="473">
        <f t="shared" si="28"/>
        <v>0</v>
      </c>
      <c r="J61" s="473"/>
      <c r="K61" s="485"/>
      <c r="L61" s="476">
        <f t="shared" si="29"/>
        <v>0</v>
      </c>
      <c r="M61" s="485"/>
      <c r="N61" s="476">
        <f t="shared" si="30"/>
        <v>0</v>
      </c>
      <c r="O61" s="476">
        <f t="shared" si="31"/>
        <v>0</v>
      </c>
      <c r="P61" s="241"/>
    </row>
    <row r="62" spans="2:16">
      <c r="B62" s="160" t="str">
        <f t="shared" si="6"/>
        <v/>
      </c>
      <c r="C62" s="470">
        <f>IF(D11="","-",+C61+1)</f>
        <v>2053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5"/>
        <v>0</v>
      </c>
      <c r="G62" s="486">
        <f t="shared" si="26"/>
        <v>0</v>
      </c>
      <c r="H62" s="453">
        <f t="shared" si="27"/>
        <v>0</v>
      </c>
      <c r="I62" s="473">
        <f t="shared" si="28"/>
        <v>0</v>
      </c>
      <c r="J62" s="473"/>
      <c r="K62" s="485"/>
      <c r="L62" s="476">
        <f t="shared" si="29"/>
        <v>0</v>
      </c>
      <c r="M62" s="485"/>
      <c r="N62" s="476">
        <f t="shared" si="30"/>
        <v>0</v>
      </c>
      <c r="O62" s="476">
        <f t="shared" si="31"/>
        <v>0</v>
      </c>
      <c r="P62" s="241"/>
    </row>
    <row r="63" spans="2:16">
      <c r="B63" s="160" t="str">
        <f t="shared" si="6"/>
        <v/>
      </c>
      <c r="C63" s="470">
        <f>IF(D11="","-",+C62+1)</f>
        <v>2054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5"/>
        <v>0</v>
      </c>
      <c r="G63" s="486">
        <f t="shared" si="26"/>
        <v>0</v>
      </c>
      <c r="H63" s="453">
        <f t="shared" si="27"/>
        <v>0</v>
      </c>
      <c r="I63" s="473">
        <f t="shared" si="28"/>
        <v>0</v>
      </c>
      <c r="J63" s="473"/>
      <c r="K63" s="485"/>
      <c r="L63" s="476">
        <f t="shared" si="29"/>
        <v>0</v>
      </c>
      <c r="M63" s="485"/>
      <c r="N63" s="476">
        <f t="shared" si="30"/>
        <v>0</v>
      </c>
      <c r="O63" s="476">
        <f t="shared" si="31"/>
        <v>0</v>
      </c>
      <c r="P63" s="241"/>
    </row>
    <row r="64" spans="2:16">
      <c r="B64" s="160" t="str">
        <f t="shared" si="6"/>
        <v/>
      </c>
      <c r="C64" s="470">
        <f>IF(D11="","-",+C63+1)</f>
        <v>2055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5"/>
        <v>0</v>
      </c>
      <c r="G64" s="486">
        <f t="shared" si="26"/>
        <v>0</v>
      </c>
      <c r="H64" s="453">
        <f t="shared" si="27"/>
        <v>0</v>
      </c>
      <c r="I64" s="473">
        <f t="shared" si="28"/>
        <v>0</v>
      </c>
      <c r="J64" s="473"/>
      <c r="K64" s="485"/>
      <c r="L64" s="476">
        <f t="shared" si="29"/>
        <v>0</v>
      </c>
      <c r="M64" s="485"/>
      <c r="N64" s="476">
        <f t="shared" si="30"/>
        <v>0</v>
      </c>
      <c r="O64" s="476">
        <f t="shared" si="31"/>
        <v>0</v>
      </c>
      <c r="P64" s="241"/>
    </row>
    <row r="65" spans="2:16">
      <c r="B65" s="160" t="str">
        <f t="shared" si="6"/>
        <v/>
      </c>
      <c r="C65" s="470">
        <f>IF(D11="","-",+C64+1)</f>
        <v>2056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5"/>
        <v>0</v>
      </c>
      <c r="G65" s="486">
        <f t="shared" si="26"/>
        <v>0</v>
      </c>
      <c r="H65" s="453">
        <f t="shared" si="27"/>
        <v>0</v>
      </c>
      <c r="I65" s="473">
        <f t="shared" si="28"/>
        <v>0</v>
      </c>
      <c r="J65" s="473"/>
      <c r="K65" s="485"/>
      <c r="L65" s="476">
        <f t="shared" si="29"/>
        <v>0</v>
      </c>
      <c r="M65" s="485"/>
      <c r="N65" s="476">
        <f t="shared" si="30"/>
        <v>0</v>
      </c>
      <c r="O65" s="476">
        <f t="shared" si="31"/>
        <v>0</v>
      </c>
      <c r="P65" s="241"/>
    </row>
    <row r="66" spans="2:16">
      <c r="B66" s="160" t="str">
        <f t="shared" si="6"/>
        <v/>
      </c>
      <c r="C66" s="470">
        <f>IF(D11="","-",+C65+1)</f>
        <v>2057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5"/>
        <v>0</v>
      </c>
      <c r="G66" s="486">
        <f t="shared" si="26"/>
        <v>0</v>
      </c>
      <c r="H66" s="453">
        <f t="shared" si="27"/>
        <v>0</v>
      </c>
      <c r="I66" s="473">
        <f t="shared" si="28"/>
        <v>0</v>
      </c>
      <c r="J66" s="473"/>
      <c r="K66" s="485"/>
      <c r="L66" s="476">
        <f t="shared" si="29"/>
        <v>0</v>
      </c>
      <c r="M66" s="485"/>
      <c r="N66" s="476">
        <f t="shared" si="30"/>
        <v>0</v>
      </c>
      <c r="O66" s="476">
        <f t="shared" si="31"/>
        <v>0</v>
      </c>
      <c r="P66" s="241"/>
    </row>
    <row r="67" spans="2:16">
      <c r="B67" s="160" t="str">
        <f t="shared" si="6"/>
        <v/>
      </c>
      <c r="C67" s="470">
        <f>IF(D11="","-",+C66+1)</f>
        <v>2058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5"/>
        <v>0</v>
      </c>
      <c r="G67" s="486">
        <f t="shared" si="26"/>
        <v>0</v>
      </c>
      <c r="H67" s="453">
        <f t="shared" si="27"/>
        <v>0</v>
      </c>
      <c r="I67" s="473">
        <f t="shared" si="28"/>
        <v>0</v>
      </c>
      <c r="J67" s="473"/>
      <c r="K67" s="485"/>
      <c r="L67" s="476">
        <f t="shared" si="29"/>
        <v>0</v>
      </c>
      <c r="M67" s="485"/>
      <c r="N67" s="476">
        <f t="shared" si="30"/>
        <v>0</v>
      </c>
      <c r="O67" s="476">
        <f t="shared" si="31"/>
        <v>0</v>
      </c>
      <c r="P67" s="241"/>
    </row>
    <row r="68" spans="2:16">
      <c r="B68" s="160" t="str">
        <f t="shared" si="6"/>
        <v/>
      </c>
      <c r="C68" s="470">
        <f>IF(D11="","-",+C67+1)</f>
        <v>2059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5"/>
        <v>0</v>
      </c>
      <c r="G68" s="486">
        <f t="shared" si="26"/>
        <v>0</v>
      </c>
      <c r="H68" s="453">
        <f t="shared" si="27"/>
        <v>0</v>
      </c>
      <c r="I68" s="473">
        <f t="shared" si="28"/>
        <v>0</v>
      </c>
      <c r="J68" s="473"/>
      <c r="K68" s="485"/>
      <c r="L68" s="476">
        <f t="shared" si="29"/>
        <v>0</v>
      </c>
      <c r="M68" s="485"/>
      <c r="N68" s="476">
        <f t="shared" si="30"/>
        <v>0</v>
      </c>
      <c r="O68" s="476">
        <f t="shared" si="31"/>
        <v>0</v>
      </c>
      <c r="P68" s="241"/>
    </row>
    <row r="69" spans="2:16">
      <c r="B69" s="160" t="str">
        <f t="shared" si="6"/>
        <v/>
      </c>
      <c r="C69" s="470">
        <f>IF(D11="","-",+C68+1)</f>
        <v>2060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5"/>
        <v>0</v>
      </c>
      <c r="G69" s="486">
        <f t="shared" si="26"/>
        <v>0</v>
      </c>
      <c r="H69" s="453">
        <f t="shared" si="27"/>
        <v>0</v>
      </c>
      <c r="I69" s="473">
        <f t="shared" si="28"/>
        <v>0</v>
      </c>
      <c r="J69" s="473"/>
      <c r="K69" s="485"/>
      <c r="L69" s="476">
        <f t="shared" si="29"/>
        <v>0</v>
      </c>
      <c r="M69" s="485"/>
      <c r="N69" s="476">
        <f t="shared" si="30"/>
        <v>0</v>
      </c>
      <c r="O69" s="476">
        <f t="shared" si="31"/>
        <v>0</v>
      </c>
      <c r="P69" s="241"/>
    </row>
    <row r="70" spans="2:16">
      <c r="B70" s="160" t="str">
        <f t="shared" si="6"/>
        <v/>
      </c>
      <c r="C70" s="470">
        <f>IF(D11="","-",+C69+1)</f>
        <v>2061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5"/>
        <v>0</v>
      </c>
      <c r="G70" s="486">
        <f t="shared" si="26"/>
        <v>0</v>
      </c>
      <c r="H70" s="453">
        <f t="shared" si="27"/>
        <v>0</v>
      </c>
      <c r="I70" s="473">
        <f t="shared" si="28"/>
        <v>0</v>
      </c>
      <c r="J70" s="473"/>
      <c r="K70" s="485"/>
      <c r="L70" s="476">
        <f t="shared" si="29"/>
        <v>0</v>
      </c>
      <c r="M70" s="485"/>
      <c r="N70" s="476">
        <f t="shared" si="30"/>
        <v>0</v>
      </c>
      <c r="O70" s="476">
        <f t="shared" si="31"/>
        <v>0</v>
      </c>
      <c r="P70" s="241"/>
    </row>
    <row r="71" spans="2:16">
      <c r="B71" s="160" t="str">
        <f t="shared" si="6"/>
        <v/>
      </c>
      <c r="C71" s="470">
        <f>IF(D11="","-",+C70+1)</f>
        <v>2062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5"/>
        <v>0</v>
      </c>
      <c r="G71" s="486">
        <f t="shared" si="26"/>
        <v>0</v>
      </c>
      <c r="H71" s="453">
        <f t="shared" si="27"/>
        <v>0</v>
      </c>
      <c r="I71" s="473">
        <f t="shared" si="28"/>
        <v>0</v>
      </c>
      <c r="J71" s="473"/>
      <c r="K71" s="485"/>
      <c r="L71" s="476">
        <f t="shared" si="29"/>
        <v>0</v>
      </c>
      <c r="M71" s="485"/>
      <c r="N71" s="476">
        <f t="shared" si="30"/>
        <v>0</v>
      </c>
      <c r="O71" s="476">
        <f t="shared" si="31"/>
        <v>0</v>
      </c>
      <c r="P71" s="241"/>
    </row>
    <row r="72" spans="2:16" ht="13.5" thickBot="1">
      <c r="B72" s="160" t="str">
        <f t="shared" si="6"/>
        <v/>
      </c>
      <c r="C72" s="487">
        <f>IF(D11="","-",+C71+1)</f>
        <v>2063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5"/>
        <v>0</v>
      </c>
      <c r="G72" s="490">
        <f t="shared" si="26"/>
        <v>0</v>
      </c>
      <c r="H72" s="433">
        <f t="shared" si="27"/>
        <v>0</v>
      </c>
      <c r="I72" s="491">
        <f t="shared" si="28"/>
        <v>0</v>
      </c>
      <c r="J72" s="473"/>
      <c r="K72" s="492"/>
      <c r="L72" s="493">
        <f t="shared" si="29"/>
        <v>0</v>
      </c>
      <c r="M72" s="492"/>
      <c r="N72" s="493">
        <f t="shared" si="30"/>
        <v>0</v>
      </c>
      <c r="O72" s="493">
        <f t="shared" si="31"/>
        <v>0</v>
      </c>
      <c r="P72" s="241"/>
    </row>
    <row r="73" spans="2:16">
      <c r="C73" s="345" t="s">
        <v>77</v>
      </c>
      <c r="D73" s="346"/>
      <c r="E73" s="346">
        <f>SUM(E17:E72)</f>
        <v>14615635.999999998</v>
      </c>
      <c r="F73" s="346"/>
      <c r="G73" s="346">
        <f>SUM(G17:G72)</f>
        <v>53055192.801103577</v>
      </c>
      <c r="H73" s="346">
        <f>SUM(H17:H72)</f>
        <v>53055192.801103577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95" t="str">
        <f ca="1">P1</f>
        <v>PSO Project 4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 t="str">
        <f>O4</f>
        <v>WFEC DA Adjustment</v>
      </c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IF(J92&lt;D11,0,VLOOKUP(J92,C17:O72,9))-P87</f>
        <v>1445071.5333333332</v>
      </c>
      <c r="N87" s="506">
        <f>IF(J92&lt;D11,0,VLOOKUP(J92,C17:O72,11))-P87</f>
        <v>1445071.5333333332</v>
      </c>
      <c r="O87" s="507">
        <f>+N87-M87</f>
        <v>0</v>
      </c>
      <c r="P87" s="341">
        <f>O5</f>
        <v>15688.800000000001</v>
      </c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IF(J92&lt;D11,0,VLOOKUP(J92,C99:P154,6))-P87</f>
        <v>1497429.8891439482</v>
      </c>
      <c r="N88" s="510">
        <f>IF(J92&lt;D11,0,VLOOKUP(J92,C99:P154,7))-P87</f>
        <v>1497429.8891439482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Cache-Snyder to Altus Jct. 138 kV line (w/2 ring bus stations)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52358.355810615001</v>
      </c>
      <c r="N89" s="515">
        <f>+N88-N87</f>
        <v>52358.355810615001</v>
      </c>
      <c r="O89" s="516">
        <f>+O88-O87</f>
        <v>0</v>
      </c>
      <c r="P89" s="231"/>
    </row>
    <row r="90" spans="1:16" ht="13.5" thickBot="1">
      <c r="C90" s="494"/>
      <c r="D90" s="517">
        <f>D8</f>
        <v>0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TP2004147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445">
        <f>+D10</f>
        <v>14615636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f>IF(D11=I10,"",D11)</f>
        <v>2008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f>IF(D11=I10,"",D12)</f>
        <v>7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356479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97</v>
      </c>
      <c r="H97" s="531" t="s">
        <v>286</v>
      </c>
      <c r="I97" s="459" t="s">
        <v>287</v>
      </c>
      <c r="J97" s="529" t="s">
        <v>98</v>
      </c>
      <c r="K97" s="532"/>
      <c r="L97" s="459" t="s">
        <v>211</v>
      </c>
      <c r="M97" s="461" t="s">
        <v>99</v>
      </c>
      <c r="N97" s="459" t="s">
        <v>211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558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2008</v>
      </c>
      <c r="D99" s="471">
        <v>0</v>
      </c>
      <c r="E99" s="478">
        <v>114341</v>
      </c>
      <c r="F99" s="477">
        <v>14429811</v>
      </c>
      <c r="G99" s="535">
        <v>7214905.5</v>
      </c>
      <c r="H99" s="536">
        <v>1260396</v>
      </c>
      <c r="I99" s="537">
        <v>1260396</v>
      </c>
      <c r="J99" s="476">
        <f t="shared" ref="J99:J131" si="32">+I99-H99</f>
        <v>0</v>
      </c>
      <c r="K99" s="476"/>
      <c r="L99" s="552">
        <v>1260396</v>
      </c>
      <c r="M99" s="475">
        <f t="shared" ref="M99:M130" si="33">IF(L99&lt;&gt;0,+H99-L99,0)</f>
        <v>0</v>
      </c>
      <c r="N99" s="552">
        <f>+L99</f>
        <v>1260396</v>
      </c>
      <c r="O99" s="475">
        <f t="shared" ref="O99:O130" si="34">IF(N99&lt;&gt;0,+I99-N99,0)</f>
        <v>0</v>
      </c>
      <c r="P99" s="475">
        <f t="shared" ref="P99:P130" si="35">+O99-M99</f>
        <v>0</v>
      </c>
    </row>
    <row r="100" spans="1:16">
      <c r="B100" s="160" t="str">
        <f>IF(D100=F99,"","IU")</f>
        <v>IU</v>
      </c>
      <c r="C100" s="470">
        <f>IF(D93="","-",+C99+1)</f>
        <v>2009</v>
      </c>
      <c r="D100" s="471">
        <v>14569170</v>
      </c>
      <c r="E100" s="478">
        <v>262206</v>
      </c>
      <c r="F100" s="477">
        <v>14306964</v>
      </c>
      <c r="G100" s="477">
        <v>14438067</v>
      </c>
      <c r="H100" s="478">
        <v>2373171</v>
      </c>
      <c r="I100" s="479">
        <v>2373171</v>
      </c>
      <c r="J100" s="476">
        <f t="shared" si="32"/>
        <v>0</v>
      </c>
      <c r="K100" s="476"/>
      <c r="L100" s="474">
        <f t="shared" ref="L100:L105" si="36">H100</f>
        <v>2373171</v>
      </c>
      <c r="M100" s="476">
        <f t="shared" si="33"/>
        <v>0</v>
      </c>
      <c r="N100" s="474">
        <f t="shared" ref="N100:N105" si="37">I100</f>
        <v>2373171</v>
      </c>
      <c r="O100" s="476">
        <f t="shared" si="34"/>
        <v>0</v>
      </c>
      <c r="P100" s="476">
        <f t="shared" si="35"/>
        <v>0</v>
      </c>
    </row>
    <row r="101" spans="1:16">
      <c r="B101" s="160" t="str">
        <f t="shared" ref="B101:B154" si="38">IF(D101=F100,"","IU")</f>
        <v>IU</v>
      </c>
      <c r="C101" s="470">
        <f>IF(D93="","-",+C100+1)</f>
        <v>2010</v>
      </c>
      <c r="D101" s="471">
        <v>14239089</v>
      </c>
      <c r="E101" s="478">
        <v>286581</v>
      </c>
      <c r="F101" s="477">
        <v>13952508</v>
      </c>
      <c r="G101" s="477">
        <v>14095798.5</v>
      </c>
      <c r="H101" s="478">
        <v>2553400</v>
      </c>
      <c r="I101" s="479">
        <v>2553400</v>
      </c>
      <c r="J101" s="476">
        <f t="shared" si="32"/>
        <v>0</v>
      </c>
      <c r="K101" s="476"/>
      <c r="L101" s="538">
        <f t="shared" si="36"/>
        <v>2553400</v>
      </c>
      <c r="M101" s="539">
        <f t="shared" si="33"/>
        <v>0</v>
      </c>
      <c r="N101" s="538">
        <f t="shared" si="37"/>
        <v>2553400</v>
      </c>
      <c r="O101" s="476">
        <f t="shared" si="34"/>
        <v>0</v>
      </c>
      <c r="P101" s="476">
        <f t="shared" si="35"/>
        <v>0</v>
      </c>
    </row>
    <row r="102" spans="1:16">
      <c r="B102" s="160" t="str">
        <f t="shared" si="38"/>
        <v/>
      </c>
      <c r="C102" s="470">
        <f>IF(D93="","-",+C101+1)</f>
        <v>2011</v>
      </c>
      <c r="D102" s="471">
        <v>13952508</v>
      </c>
      <c r="E102" s="478">
        <v>281070</v>
      </c>
      <c r="F102" s="477">
        <v>13671438</v>
      </c>
      <c r="G102" s="477">
        <v>13811973</v>
      </c>
      <c r="H102" s="478">
        <v>2212169</v>
      </c>
      <c r="I102" s="479">
        <v>2212169</v>
      </c>
      <c r="J102" s="476">
        <f t="shared" si="32"/>
        <v>0</v>
      </c>
      <c r="K102" s="476"/>
      <c r="L102" s="538">
        <f t="shared" si="36"/>
        <v>2212169</v>
      </c>
      <c r="M102" s="539">
        <f t="shared" si="33"/>
        <v>0</v>
      </c>
      <c r="N102" s="538">
        <f t="shared" si="37"/>
        <v>2212169</v>
      </c>
      <c r="O102" s="476">
        <f t="shared" si="34"/>
        <v>0</v>
      </c>
      <c r="P102" s="476">
        <f t="shared" si="35"/>
        <v>0</v>
      </c>
    </row>
    <row r="103" spans="1:16">
      <c r="B103" s="160" t="str">
        <f t="shared" si="38"/>
        <v/>
      </c>
      <c r="C103" s="470">
        <f>IF(D93="","-",+C102+1)</f>
        <v>2012</v>
      </c>
      <c r="D103" s="471">
        <v>13671438</v>
      </c>
      <c r="E103" s="478">
        <v>281070</v>
      </c>
      <c r="F103" s="477">
        <v>13390368</v>
      </c>
      <c r="G103" s="477">
        <v>13530903</v>
      </c>
      <c r="H103" s="478">
        <v>2227565</v>
      </c>
      <c r="I103" s="479">
        <v>2227565</v>
      </c>
      <c r="J103" s="476">
        <v>0</v>
      </c>
      <c r="K103" s="476"/>
      <c r="L103" s="538">
        <f t="shared" si="36"/>
        <v>2227565</v>
      </c>
      <c r="M103" s="539">
        <f t="shared" ref="M103:M108" si="39">IF(L103&lt;&gt;0,+H103-L103,0)</f>
        <v>0</v>
      </c>
      <c r="N103" s="538">
        <f t="shared" si="37"/>
        <v>2227565</v>
      </c>
      <c r="O103" s="476">
        <f t="shared" ref="O103:O108" si="40">IF(N103&lt;&gt;0,+I103-N103,0)</f>
        <v>0</v>
      </c>
      <c r="P103" s="476">
        <f t="shared" ref="P103:P108" si="41">+O103-M103</f>
        <v>0</v>
      </c>
    </row>
    <row r="104" spans="1:16">
      <c r="B104" s="160" t="str">
        <f t="shared" si="38"/>
        <v/>
      </c>
      <c r="C104" s="470">
        <f>IF(D93="","-",+C103+1)</f>
        <v>2013</v>
      </c>
      <c r="D104" s="471">
        <v>13390368</v>
      </c>
      <c r="E104" s="478">
        <v>281070</v>
      </c>
      <c r="F104" s="477">
        <v>13109298</v>
      </c>
      <c r="G104" s="477">
        <v>13249833</v>
      </c>
      <c r="H104" s="478">
        <v>2188246</v>
      </c>
      <c r="I104" s="479">
        <v>2188246</v>
      </c>
      <c r="J104" s="476">
        <v>0</v>
      </c>
      <c r="K104" s="476"/>
      <c r="L104" s="538">
        <f t="shared" si="36"/>
        <v>2188246</v>
      </c>
      <c r="M104" s="539">
        <f t="shared" si="39"/>
        <v>0</v>
      </c>
      <c r="N104" s="538">
        <f t="shared" si="37"/>
        <v>2188246</v>
      </c>
      <c r="O104" s="476">
        <f t="shared" si="40"/>
        <v>0</v>
      </c>
      <c r="P104" s="476">
        <f t="shared" si="41"/>
        <v>0</v>
      </c>
    </row>
    <row r="105" spans="1:16">
      <c r="B105" s="160" t="str">
        <f t="shared" si="38"/>
        <v/>
      </c>
      <c r="C105" s="470">
        <f>IF(D93="","-",+C104+1)</f>
        <v>2014</v>
      </c>
      <c r="D105" s="471">
        <v>13109298</v>
      </c>
      <c r="E105" s="478">
        <v>281070</v>
      </c>
      <c r="F105" s="477">
        <v>12828228</v>
      </c>
      <c r="G105" s="477">
        <v>12968763</v>
      </c>
      <c r="H105" s="478">
        <v>2104425</v>
      </c>
      <c r="I105" s="479">
        <v>2104425</v>
      </c>
      <c r="J105" s="476">
        <v>0</v>
      </c>
      <c r="K105" s="476"/>
      <c r="L105" s="538">
        <f t="shared" si="36"/>
        <v>2104425</v>
      </c>
      <c r="M105" s="539">
        <f t="shared" si="39"/>
        <v>0</v>
      </c>
      <c r="N105" s="538">
        <f t="shared" si="37"/>
        <v>2104425</v>
      </c>
      <c r="O105" s="476">
        <f t="shared" si="40"/>
        <v>0</v>
      </c>
      <c r="P105" s="476">
        <f t="shared" si="41"/>
        <v>0</v>
      </c>
    </row>
    <row r="106" spans="1:16">
      <c r="B106" s="160" t="str">
        <f t="shared" si="38"/>
        <v/>
      </c>
      <c r="C106" s="470">
        <f>IF(D93="","-",+C105+1)</f>
        <v>2015</v>
      </c>
      <c r="D106" s="471">
        <v>12828228</v>
      </c>
      <c r="E106" s="478">
        <v>281070</v>
      </c>
      <c r="F106" s="477">
        <v>12547158</v>
      </c>
      <c r="G106" s="477">
        <v>12687693</v>
      </c>
      <c r="H106" s="478">
        <v>2012204</v>
      </c>
      <c r="I106" s="479">
        <v>2012204</v>
      </c>
      <c r="J106" s="476">
        <f t="shared" si="32"/>
        <v>0</v>
      </c>
      <c r="K106" s="476"/>
      <c r="L106" s="538">
        <f t="shared" ref="L106:L111" si="42">H106</f>
        <v>2012204</v>
      </c>
      <c r="M106" s="539">
        <f t="shared" si="39"/>
        <v>0</v>
      </c>
      <c r="N106" s="538">
        <f t="shared" ref="N106:N111" si="43">I106</f>
        <v>2012204</v>
      </c>
      <c r="O106" s="476">
        <f t="shared" si="40"/>
        <v>0</v>
      </c>
      <c r="P106" s="476">
        <f t="shared" si="41"/>
        <v>0</v>
      </c>
    </row>
    <row r="107" spans="1:16">
      <c r="B107" s="160" t="str">
        <f t="shared" si="38"/>
        <v/>
      </c>
      <c r="C107" s="470">
        <f>IF(D93="","-",+C106+1)</f>
        <v>2016</v>
      </c>
      <c r="D107" s="471">
        <v>12547158</v>
      </c>
      <c r="E107" s="478">
        <v>317731</v>
      </c>
      <c r="F107" s="477">
        <v>12229427</v>
      </c>
      <c r="G107" s="477">
        <v>12388292.5</v>
      </c>
      <c r="H107" s="478">
        <v>1914777</v>
      </c>
      <c r="I107" s="479">
        <v>1914777</v>
      </c>
      <c r="J107" s="476">
        <f t="shared" si="32"/>
        <v>0</v>
      </c>
      <c r="K107" s="476"/>
      <c r="L107" s="538">
        <f t="shared" si="42"/>
        <v>1914777</v>
      </c>
      <c r="M107" s="539">
        <f t="shared" si="39"/>
        <v>0</v>
      </c>
      <c r="N107" s="538">
        <f t="shared" si="43"/>
        <v>1914777</v>
      </c>
      <c r="O107" s="476">
        <f t="shared" si="40"/>
        <v>0</v>
      </c>
      <c r="P107" s="476">
        <f t="shared" si="41"/>
        <v>0</v>
      </c>
    </row>
    <row r="108" spans="1:16">
      <c r="B108" s="160" t="str">
        <f t="shared" si="38"/>
        <v/>
      </c>
      <c r="C108" s="470">
        <f>IF(D93="","-",+C107+1)</f>
        <v>2017</v>
      </c>
      <c r="D108" s="471">
        <v>12229427</v>
      </c>
      <c r="E108" s="478">
        <v>317731</v>
      </c>
      <c r="F108" s="477">
        <v>11911696</v>
      </c>
      <c r="G108" s="477">
        <v>12070561.5</v>
      </c>
      <c r="H108" s="478">
        <v>1848912</v>
      </c>
      <c r="I108" s="479">
        <v>1848912</v>
      </c>
      <c r="J108" s="476">
        <f t="shared" si="32"/>
        <v>0</v>
      </c>
      <c r="K108" s="476"/>
      <c r="L108" s="538">
        <f t="shared" si="42"/>
        <v>1848912</v>
      </c>
      <c r="M108" s="539">
        <f t="shared" si="39"/>
        <v>0</v>
      </c>
      <c r="N108" s="538">
        <f t="shared" si="43"/>
        <v>1848912</v>
      </c>
      <c r="O108" s="476">
        <f t="shared" si="40"/>
        <v>0</v>
      </c>
      <c r="P108" s="476">
        <f t="shared" si="41"/>
        <v>0</v>
      </c>
    </row>
    <row r="109" spans="1:16">
      <c r="B109" s="160" t="str">
        <f t="shared" si="38"/>
        <v/>
      </c>
      <c r="C109" s="470">
        <f>IF(D93="","-",+C108+1)</f>
        <v>2018</v>
      </c>
      <c r="D109" s="471">
        <v>11911696</v>
      </c>
      <c r="E109" s="478">
        <v>339899</v>
      </c>
      <c r="F109" s="477">
        <v>11571797</v>
      </c>
      <c r="G109" s="477">
        <v>11741746.5</v>
      </c>
      <c r="H109" s="478">
        <v>1546194</v>
      </c>
      <c r="I109" s="479">
        <v>1546194</v>
      </c>
      <c r="J109" s="476">
        <f t="shared" si="32"/>
        <v>0</v>
      </c>
      <c r="K109" s="476"/>
      <c r="L109" s="538">
        <f t="shared" si="42"/>
        <v>1546194</v>
      </c>
      <c r="M109" s="539">
        <f t="shared" ref="M109" si="44">IF(L109&lt;&gt;0,+H109-L109,0)</f>
        <v>0</v>
      </c>
      <c r="N109" s="538">
        <f t="shared" si="43"/>
        <v>1546194</v>
      </c>
      <c r="O109" s="476">
        <f t="shared" ref="O109" si="45">IF(N109&lt;&gt;0,+I109-N109,0)</f>
        <v>0</v>
      </c>
      <c r="P109" s="476">
        <f t="shared" ref="P109" si="46">+O109-M109</f>
        <v>0</v>
      </c>
    </row>
    <row r="110" spans="1:16">
      <c r="B110" s="160" t="str">
        <f t="shared" si="38"/>
        <v/>
      </c>
      <c r="C110" s="470">
        <f>IF(D93="","-",+C109+1)</f>
        <v>2019</v>
      </c>
      <c r="D110" s="471">
        <v>11571797</v>
      </c>
      <c r="E110" s="478">
        <v>356479</v>
      </c>
      <c r="F110" s="477">
        <v>11215318</v>
      </c>
      <c r="G110" s="477">
        <v>11393557.5</v>
      </c>
      <c r="H110" s="478">
        <v>1531315</v>
      </c>
      <c r="I110" s="479">
        <v>1531315</v>
      </c>
      <c r="J110" s="476">
        <f t="shared" si="32"/>
        <v>0</v>
      </c>
      <c r="K110" s="476"/>
      <c r="L110" s="538">
        <f t="shared" si="42"/>
        <v>1531315</v>
      </c>
      <c r="M110" s="539">
        <f t="shared" ref="M110:M111" si="47">IF(L110&lt;&gt;0,+H110-L110,0)</f>
        <v>0</v>
      </c>
      <c r="N110" s="538">
        <f t="shared" si="43"/>
        <v>1531315</v>
      </c>
      <c r="O110" s="476">
        <f t="shared" si="34"/>
        <v>0</v>
      </c>
      <c r="P110" s="476">
        <f t="shared" si="35"/>
        <v>0</v>
      </c>
    </row>
    <row r="111" spans="1:16">
      <c r="B111" s="160" t="str">
        <f t="shared" si="38"/>
        <v/>
      </c>
      <c r="C111" s="470">
        <f>IF(D93="","-",+C110+1)</f>
        <v>2020</v>
      </c>
      <c r="D111" s="471">
        <v>11215318</v>
      </c>
      <c r="E111" s="478">
        <v>339899</v>
      </c>
      <c r="F111" s="477">
        <v>10875419</v>
      </c>
      <c r="G111" s="477">
        <v>11045368.5</v>
      </c>
      <c r="H111" s="478">
        <v>1613399.6213131989</v>
      </c>
      <c r="I111" s="479">
        <v>1613399.6213131989</v>
      </c>
      <c r="J111" s="476">
        <f t="shared" si="32"/>
        <v>0</v>
      </c>
      <c r="K111" s="476"/>
      <c r="L111" s="538">
        <f t="shared" si="42"/>
        <v>1613399.6213131989</v>
      </c>
      <c r="M111" s="539">
        <f t="shared" si="47"/>
        <v>0</v>
      </c>
      <c r="N111" s="538">
        <f t="shared" si="43"/>
        <v>1613399.6213131989</v>
      </c>
      <c r="O111" s="476">
        <f t="shared" si="34"/>
        <v>0</v>
      </c>
      <c r="P111" s="476">
        <f t="shared" si="35"/>
        <v>0</v>
      </c>
    </row>
    <row r="112" spans="1:16">
      <c r="B112" s="160" t="str">
        <f t="shared" si="38"/>
        <v/>
      </c>
      <c r="C112" s="470">
        <f>IF(D93="","-",+C111+1)</f>
        <v>2021</v>
      </c>
      <c r="D112" s="471">
        <v>10875419</v>
      </c>
      <c r="E112" s="478">
        <v>356479</v>
      </c>
      <c r="F112" s="477">
        <v>10518940</v>
      </c>
      <c r="G112" s="477">
        <v>10697179.5</v>
      </c>
      <c r="H112" s="478">
        <v>1573740.9328639174</v>
      </c>
      <c r="I112" s="479">
        <v>1573740.9328639174</v>
      </c>
      <c r="J112" s="476">
        <f t="shared" si="32"/>
        <v>0</v>
      </c>
      <c r="K112" s="476"/>
      <c r="L112" s="538">
        <f t="shared" ref="L112" si="48">H112</f>
        <v>1573740.9328639174</v>
      </c>
      <c r="M112" s="539">
        <f t="shared" ref="M112" si="49">IF(L112&lt;&gt;0,+H112-L112,0)</f>
        <v>0</v>
      </c>
      <c r="N112" s="538">
        <f t="shared" ref="N112" si="50">I112</f>
        <v>1573740.9328639174</v>
      </c>
      <c r="O112" s="476">
        <f t="shared" ref="O112" si="51">IF(N112&lt;&gt;0,+I112-N112,0)</f>
        <v>0</v>
      </c>
      <c r="P112" s="476">
        <f t="shared" ref="P112" si="52">+O112-M112</f>
        <v>0</v>
      </c>
    </row>
    <row r="113" spans="2:16">
      <c r="B113" s="160" t="str">
        <f t="shared" si="38"/>
        <v/>
      </c>
      <c r="C113" s="631">
        <f>IF(D93="","-",+C112+1)</f>
        <v>2022</v>
      </c>
      <c r="D113" s="345">
        <v>10518940</v>
      </c>
      <c r="E113" s="484">
        <v>374760</v>
      </c>
      <c r="F113" s="483">
        <v>10144180</v>
      </c>
      <c r="G113" s="483">
        <v>10331560</v>
      </c>
      <c r="H113" s="486">
        <v>1513118.6891439483</v>
      </c>
      <c r="I113" s="540">
        <v>1513118.6891439483</v>
      </c>
      <c r="J113" s="476">
        <f t="shared" si="32"/>
        <v>0</v>
      </c>
      <c r="K113" s="476"/>
      <c r="L113" s="485"/>
      <c r="M113" s="476">
        <f t="shared" si="33"/>
        <v>0</v>
      </c>
      <c r="N113" s="485"/>
      <c r="O113" s="476">
        <f t="shared" si="34"/>
        <v>0</v>
      </c>
      <c r="P113" s="476">
        <f t="shared" si="35"/>
        <v>0</v>
      </c>
    </row>
    <row r="114" spans="2:16">
      <c r="B114" s="160" t="str">
        <f t="shared" si="38"/>
        <v/>
      </c>
      <c r="C114" s="470">
        <f>IF(D93="","-",+C113+1)</f>
        <v>2023</v>
      </c>
      <c r="D114" s="345">
        <f>IF(F113+SUM(E$99:E113)=D$92,F113,D$92-SUM(E$99:E113))</f>
        <v>10144180</v>
      </c>
      <c r="E114" s="484">
        <f>IF(+J96&lt;F113,J96,D114)</f>
        <v>356479</v>
      </c>
      <c r="F114" s="483">
        <f t="shared" ref="F114:F130" si="53">+D114-E114</f>
        <v>9787701</v>
      </c>
      <c r="G114" s="483">
        <f t="shared" ref="G114:G130" si="54">+(F114+D114)/2</f>
        <v>9965940.5</v>
      </c>
      <c r="H114" s="486">
        <f t="shared" ref="H114:H154" si="55">ROUND(J$94*G114,0)+E114</f>
        <v>1490531</v>
      </c>
      <c r="I114" s="540">
        <f t="shared" ref="I114:I154" si="56">ROUND(J$95*G114,0)+E114</f>
        <v>1490531</v>
      </c>
      <c r="J114" s="476">
        <f t="shared" si="32"/>
        <v>0</v>
      </c>
      <c r="K114" s="476"/>
      <c r="L114" s="485"/>
      <c r="M114" s="476">
        <f t="shared" si="33"/>
        <v>0</v>
      </c>
      <c r="N114" s="485"/>
      <c r="O114" s="476">
        <f t="shared" si="34"/>
        <v>0</v>
      </c>
      <c r="P114" s="476">
        <f t="shared" si="35"/>
        <v>0</v>
      </c>
    </row>
    <row r="115" spans="2:16">
      <c r="B115" s="160" t="str">
        <f t="shared" si="38"/>
        <v/>
      </c>
      <c r="C115" s="470">
        <f>IF(D93="","-",+C114+1)</f>
        <v>2024</v>
      </c>
      <c r="D115" s="345">
        <f>IF(F114+SUM(E$99:E114)=D$92,F114,D$92-SUM(E$99:E114))</f>
        <v>9787701</v>
      </c>
      <c r="E115" s="484">
        <f>IF(+J96&lt;F114,J96,D115)</f>
        <v>356479</v>
      </c>
      <c r="F115" s="483">
        <f t="shared" si="53"/>
        <v>9431222</v>
      </c>
      <c r="G115" s="483">
        <f t="shared" si="54"/>
        <v>9609461.5</v>
      </c>
      <c r="H115" s="486">
        <f t="shared" si="55"/>
        <v>1449966</v>
      </c>
      <c r="I115" s="540">
        <f t="shared" si="56"/>
        <v>1449966</v>
      </c>
      <c r="J115" s="476">
        <f t="shared" si="32"/>
        <v>0</v>
      </c>
      <c r="K115" s="476"/>
      <c r="L115" s="485"/>
      <c r="M115" s="476">
        <f t="shared" si="33"/>
        <v>0</v>
      </c>
      <c r="N115" s="485"/>
      <c r="O115" s="476">
        <f t="shared" si="34"/>
        <v>0</v>
      </c>
      <c r="P115" s="476">
        <f t="shared" si="35"/>
        <v>0</v>
      </c>
    </row>
    <row r="116" spans="2:16">
      <c r="B116" s="160" t="str">
        <f t="shared" si="38"/>
        <v/>
      </c>
      <c r="C116" s="470">
        <f>IF(D93="","-",+C115+1)</f>
        <v>2025</v>
      </c>
      <c r="D116" s="345">
        <f>IF(F115+SUM(E$99:E115)=D$92,F115,D$92-SUM(E$99:E115))</f>
        <v>9431222</v>
      </c>
      <c r="E116" s="484">
        <f>IF(+J96&lt;F115,J96,D116)</f>
        <v>356479</v>
      </c>
      <c r="F116" s="483">
        <f t="shared" si="53"/>
        <v>9074743</v>
      </c>
      <c r="G116" s="483">
        <f t="shared" si="54"/>
        <v>9252982.5</v>
      </c>
      <c r="H116" s="486">
        <f t="shared" si="55"/>
        <v>1409402</v>
      </c>
      <c r="I116" s="540">
        <f t="shared" si="56"/>
        <v>1409402</v>
      </c>
      <c r="J116" s="476">
        <f t="shared" si="32"/>
        <v>0</v>
      </c>
      <c r="K116" s="476"/>
      <c r="L116" s="485"/>
      <c r="M116" s="476">
        <f t="shared" si="33"/>
        <v>0</v>
      </c>
      <c r="N116" s="485"/>
      <c r="O116" s="476">
        <f t="shared" si="34"/>
        <v>0</v>
      </c>
      <c r="P116" s="476">
        <f t="shared" si="35"/>
        <v>0</v>
      </c>
    </row>
    <row r="117" spans="2:16">
      <c r="B117" s="160" t="str">
        <f t="shared" si="38"/>
        <v/>
      </c>
      <c r="C117" s="470">
        <f>IF(D93="","-",+C116+1)</f>
        <v>2026</v>
      </c>
      <c r="D117" s="345">
        <f>IF(F116+SUM(E$99:E116)=D$92,F116,D$92-SUM(E$99:E116))</f>
        <v>9074743</v>
      </c>
      <c r="E117" s="484">
        <f>IF(+J96&lt;F116,J96,D117)</f>
        <v>356479</v>
      </c>
      <c r="F117" s="483">
        <f t="shared" si="53"/>
        <v>8718264</v>
      </c>
      <c r="G117" s="483">
        <f t="shared" si="54"/>
        <v>8896503.5</v>
      </c>
      <c r="H117" s="486">
        <f t="shared" si="55"/>
        <v>1368837</v>
      </c>
      <c r="I117" s="540">
        <f t="shared" si="56"/>
        <v>1368837</v>
      </c>
      <c r="J117" s="476">
        <f t="shared" si="32"/>
        <v>0</v>
      </c>
      <c r="K117" s="476"/>
      <c r="L117" s="485"/>
      <c r="M117" s="476">
        <f t="shared" si="33"/>
        <v>0</v>
      </c>
      <c r="N117" s="485"/>
      <c r="O117" s="476">
        <f t="shared" si="34"/>
        <v>0</v>
      </c>
      <c r="P117" s="476">
        <f t="shared" si="35"/>
        <v>0</v>
      </c>
    </row>
    <row r="118" spans="2:16">
      <c r="B118" s="160" t="str">
        <f t="shared" si="38"/>
        <v/>
      </c>
      <c r="C118" s="470">
        <f>IF(D93="","-",+C117+1)</f>
        <v>2027</v>
      </c>
      <c r="D118" s="345">
        <f>IF(F117+SUM(E$99:E117)=D$92,F117,D$92-SUM(E$99:E117))</f>
        <v>8718264</v>
      </c>
      <c r="E118" s="484">
        <f>IF(+J96&lt;F117,J96,D118)</f>
        <v>356479</v>
      </c>
      <c r="F118" s="483">
        <f t="shared" si="53"/>
        <v>8361785</v>
      </c>
      <c r="G118" s="483">
        <f t="shared" si="54"/>
        <v>8540024.5</v>
      </c>
      <c r="H118" s="486">
        <f t="shared" si="55"/>
        <v>1328272</v>
      </c>
      <c r="I118" s="540">
        <f t="shared" si="56"/>
        <v>1328272</v>
      </c>
      <c r="J118" s="476">
        <f t="shared" si="32"/>
        <v>0</v>
      </c>
      <c r="K118" s="476"/>
      <c r="L118" s="485"/>
      <c r="M118" s="476">
        <f t="shared" si="33"/>
        <v>0</v>
      </c>
      <c r="N118" s="485"/>
      <c r="O118" s="476">
        <f t="shared" si="34"/>
        <v>0</v>
      </c>
      <c r="P118" s="476">
        <f t="shared" si="35"/>
        <v>0</v>
      </c>
    </row>
    <row r="119" spans="2:16">
      <c r="B119" s="160" t="str">
        <f t="shared" si="38"/>
        <v/>
      </c>
      <c r="C119" s="470">
        <f>IF(D93="","-",+C118+1)</f>
        <v>2028</v>
      </c>
      <c r="D119" s="345">
        <f>IF(F118+SUM(E$99:E118)=D$92,F118,D$92-SUM(E$99:E118))</f>
        <v>8361785</v>
      </c>
      <c r="E119" s="484">
        <f>IF(+J96&lt;F118,J96,D119)</f>
        <v>356479</v>
      </c>
      <c r="F119" s="483">
        <f t="shared" si="53"/>
        <v>8005306</v>
      </c>
      <c r="G119" s="483">
        <f t="shared" si="54"/>
        <v>8183545.5</v>
      </c>
      <c r="H119" s="486">
        <f t="shared" si="55"/>
        <v>1287707</v>
      </c>
      <c r="I119" s="540">
        <f t="shared" si="56"/>
        <v>1287707</v>
      </c>
      <c r="J119" s="476">
        <f t="shared" si="32"/>
        <v>0</v>
      </c>
      <c r="K119" s="476"/>
      <c r="L119" s="485"/>
      <c r="M119" s="476">
        <f t="shared" si="33"/>
        <v>0</v>
      </c>
      <c r="N119" s="485"/>
      <c r="O119" s="476">
        <f t="shared" si="34"/>
        <v>0</v>
      </c>
      <c r="P119" s="476">
        <f t="shared" si="35"/>
        <v>0</v>
      </c>
    </row>
    <row r="120" spans="2:16">
      <c r="B120" s="160" t="str">
        <f t="shared" si="38"/>
        <v/>
      </c>
      <c r="C120" s="470">
        <f>IF(D93="","-",+C119+1)</f>
        <v>2029</v>
      </c>
      <c r="D120" s="345">
        <f>IF(F119+SUM(E$99:E119)=D$92,F119,D$92-SUM(E$99:E119))</f>
        <v>8005306</v>
      </c>
      <c r="E120" s="484">
        <f>IF(+J96&lt;F119,J96,D120)</f>
        <v>356479</v>
      </c>
      <c r="F120" s="483">
        <f t="shared" si="53"/>
        <v>7648827</v>
      </c>
      <c r="G120" s="483">
        <f t="shared" si="54"/>
        <v>7827066.5</v>
      </c>
      <c r="H120" s="486">
        <f t="shared" si="55"/>
        <v>1247143</v>
      </c>
      <c r="I120" s="540">
        <f t="shared" si="56"/>
        <v>1247143</v>
      </c>
      <c r="J120" s="476">
        <f t="shared" si="32"/>
        <v>0</v>
      </c>
      <c r="K120" s="476"/>
      <c r="L120" s="485"/>
      <c r="M120" s="476">
        <f t="shared" si="33"/>
        <v>0</v>
      </c>
      <c r="N120" s="485"/>
      <c r="O120" s="476">
        <f t="shared" si="34"/>
        <v>0</v>
      </c>
      <c r="P120" s="476">
        <f t="shared" si="35"/>
        <v>0</v>
      </c>
    </row>
    <row r="121" spans="2:16">
      <c r="B121" s="160" t="str">
        <f t="shared" si="38"/>
        <v/>
      </c>
      <c r="C121" s="470">
        <f>IF(D93="","-",+C120+1)</f>
        <v>2030</v>
      </c>
      <c r="D121" s="345">
        <f>IF(F120+SUM(E$99:E120)=D$92,F120,D$92-SUM(E$99:E120))</f>
        <v>7648827</v>
      </c>
      <c r="E121" s="484">
        <f>IF(+J96&lt;F120,J96,D121)</f>
        <v>356479</v>
      </c>
      <c r="F121" s="483">
        <f t="shared" si="53"/>
        <v>7292348</v>
      </c>
      <c r="G121" s="483">
        <f t="shared" si="54"/>
        <v>7470587.5</v>
      </c>
      <c r="H121" s="486">
        <f t="shared" si="55"/>
        <v>1206578</v>
      </c>
      <c r="I121" s="540">
        <f t="shared" si="56"/>
        <v>1206578</v>
      </c>
      <c r="J121" s="476">
        <f t="shared" si="32"/>
        <v>0</v>
      </c>
      <c r="K121" s="476"/>
      <c r="L121" s="485"/>
      <c r="M121" s="476">
        <f t="shared" si="33"/>
        <v>0</v>
      </c>
      <c r="N121" s="485"/>
      <c r="O121" s="476">
        <f t="shared" si="34"/>
        <v>0</v>
      </c>
      <c r="P121" s="476">
        <f t="shared" si="35"/>
        <v>0</v>
      </c>
    </row>
    <row r="122" spans="2:16">
      <c r="B122" s="160" t="str">
        <f t="shared" si="38"/>
        <v/>
      </c>
      <c r="C122" s="470">
        <f>IF(D93="","-",+C121+1)</f>
        <v>2031</v>
      </c>
      <c r="D122" s="345">
        <f>IF(F121+SUM(E$99:E121)=D$92,F121,D$92-SUM(E$99:E121))</f>
        <v>7292348</v>
      </c>
      <c r="E122" s="484">
        <f>IF(+J96&lt;F121,J96,D122)</f>
        <v>356479</v>
      </c>
      <c r="F122" s="483">
        <f t="shared" si="53"/>
        <v>6935869</v>
      </c>
      <c r="G122" s="483">
        <f t="shared" si="54"/>
        <v>7114108.5</v>
      </c>
      <c r="H122" s="486">
        <f t="shared" si="55"/>
        <v>1166013</v>
      </c>
      <c r="I122" s="540">
        <f t="shared" si="56"/>
        <v>1166013</v>
      </c>
      <c r="J122" s="476">
        <f t="shared" si="32"/>
        <v>0</v>
      </c>
      <c r="K122" s="476"/>
      <c r="L122" s="485"/>
      <c r="M122" s="476">
        <f t="shared" si="33"/>
        <v>0</v>
      </c>
      <c r="N122" s="485"/>
      <c r="O122" s="476">
        <f t="shared" si="34"/>
        <v>0</v>
      </c>
      <c r="P122" s="476">
        <f t="shared" si="35"/>
        <v>0</v>
      </c>
    </row>
    <row r="123" spans="2:16">
      <c r="B123" s="160" t="str">
        <f t="shared" si="38"/>
        <v/>
      </c>
      <c r="C123" s="470">
        <f>IF(D93="","-",+C122+1)</f>
        <v>2032</v>
      </c>
      <c r="D123" s="345">
        <f>IF(F122+SUM(E$99:E122)=D$92,F122,D$92-SUM(E$99:E122))</f>
        <v>6935869</v>
      </c>
      <c r="E123" s="484">
        <f>IF(+J96&lt;F122,J96,D123)</f>
        <v>356479</v>
      </c>
      <c r="F123" s="483">
        <f t="shared" si="53"/>
        <v>6579390</v>
      </c>
      <c r="G123" s="483">
        <f t="shared" si="54"/>
        <v>6757629.5</v>
      </c>
      <c r="H123" s="486">
        <f t="shared" si="55"/>
        <v>1125449</v>
      </c>
      <c r="I123" s="540">
        <f t="shared" si="56"/>
        <v>1125449</v>
      </c>
      <c r="J123" s="476">
        <f t="shared" si="32"/>
        <v>0</v>
      </c>
      <c r="K123" s="476"/>
      <c r="L123" s="485"/>
      <c r="M123" s="476">
        <f t="shared" si="33"/>
        <v>0</v>
      </c>
      <c r="N123" s="485"/>
      <c r="O123" s="476">
        <f t="shared" si="34"/>
        <v>0</v>
      </c>
      <c r="P123" s="476">
        <f t="shared" si="35"/>
        <v>0</v>
      </c>
    </row>
    <row r="124" spans="2:16">
      <c r="B124" s="160" t="str">
        <f t="shared" si="38"/>
        <v/>
      </c>
      <c r="C124" s="470">
        <f>IF(D93="","-",+C123+1)</f>
        <v>2033</v>
      </c>
      <c r="D124" s="345">
        <f>IF(F123+SUM(E$99:E123)=D$92,F123,D$92-SUM(E$99:E123))</f>
        <v>6579390</v>
      </c>
      <c r="E124" s="484">
        <f>IF(+J96&lt;F123,J96,D124)</f>
        <v>356479</v>
      </c>
      <c r="F124" s="483">
        <f t="shared" si="53"/>
        <v>6222911</v>
      </c>
      <c r="G124" s="483">
        <f t="shared" si="54"/>
        <v>6401150.5</v>
      </c>
      <c r="H124" s="486">
        <f t="shared" si="55"/>
        <v>1084884</v>
      </c>
      <c r="I124" s="540">
        <f t="shared" si="56"/>
        <v>1084884</v>
      </c>
      <c r="J124" s="476">
        <f t="shared" si="32"/>
        <v>0</v>
      </c>
      <c r="K124" s="476"/>
      <c r="L124" s="485"/>
      <c r="M124" s="476">
        <f t="shared" si="33"/>
        <v>0</v>
      </c>
      <c r="N124" s="485"/>
      <c r="O124" s="476">
        <f t="shared" si="34"/>
        <v>0</v>
      </c>
      <c r="P124" s="476">
        <f t="shared" si="35"/>
        <v>0</v>
      </c>
    </row>
    <row r="125" spans="2:16">
      <c r="B125" s="160" t="str">
        <f t="shared" si="38"/>
        <v/>
      </c>
      <c r="C125" s="470">
        <f>IF(D93="","-",+C124+1)</f>
        <v>2034</v>
      </c>
      <c r="D125" s="345">
        <f>IF(F124+SUM(E$99:E124)=D$92,F124,D$92-SUM(E$99:E124))</f>
        <v>6222911</v>
      </c>
      <c r="E125" s="484">
        <f>IF(+J96&lt;F124,J96,D125)</f>
        <v>356479</v>
      </c>
      <c r="F125" s="483">
        <f t="shared" si="53"/>
        <v>5866432</v>
      </c>
      <c r="G125" s="483">
        <f t="shared" si="54"/>
        <v>6044671.5</v>
      </c>
      <c r="H125" s="486">
        <f t="shared" si="55"/>
        <v>1044319</v>
      </c>
      <c r="I125" s="540">
        <f t="shared" si="56"/>
        <v>1044319</v>
      </c>
      <c r="J125" s="476">
        <f t="shared" si="32"/>
        <v>0</v>
      </c>
      <c r="K125" s="476"/>
      <c r="L125" s="485"/>
      <c r="M125" s="476">
        <f t="shared" si="33"/>
        <v>0</v>
      </c>
      <c r="N125" s="485"/>
      <c r="O125" s="476">
        <f t="shared" si="34"/>
        <v>0</v>
      </c>
      <c r="P125" s="476">
        <f t="shared" si="35"/>
        <v>0</v>
      </c>
    </row>
    <row r="126" spans="2:16">
      <c r="B126" s="160" t="str">
        <f t="shared" si="38"/>
        <v/>
      </c>
      <c r="C126" s="470">
        <f>IF(D93="","-",+C125+1)</f>
        <v>2035</v>
      </c>
      <c r="D126" s="345">
        <f>IF(F125+SUM(E$99:E125)=D$92,F125,D$92-SUM(E$99:E125))</f>
        <v>5866432</v>
      </c>
      <c r="E126" s="484">
        <f>IF(+J96&lt;F125,J96,D126)</f>
        <v>356479</v>
      </c>
      <c r="F126" s="483">
        <f t="shared" si="53"/>
        <v>5509953</v>
      </c>
      <c r="G126" s="483">
        <f t="shared" si="54"/>
        <v>5688192.5</v>
      </c>
      <c r="H126" s="486">
        <f t="shared" si="55"/>
        <v>1003754</v>
      </c>
      <c r="I126" s="540">
        <f t="shared" si="56"/>
        <v>1003754</v>
      </c>
      <c r="J126" s="476">
        <f t="shared" si="32"/>
        <v>0</v>
      </c>
      <c r="K126" s="476"/>
      <c r="L126" s="485"/>
      <c r="M126" s="476">
        <f t="shared" si="33"/>
        <v>0</v>
      </c>
      <c r="N126" s="485"/>
      <c r="O126" s="476">
        <f t="shared" si="34"/>
        <v>0</v>
      </c>
      <c r="P126" s="476">
        <f t="shared" si="35"/>
        <v>0</v>
      </c>
    </row>
    <row r="127" spans="2:16">
      <c r="B127" s="160" t="str">
        <f t="shared" si="38"/>
        <v/>
      </c>
      <c r="C127" s="470">
        <f>IF(D93="","-",+C126+1)</f>
        <v>2036</v>
      </c>
      <c r="D127" s="345">
        <f>IF(F126+SUM(E$99:E126)=D$92,F126,D$92-SUM(E$99:E126))</f>
        <v>5509953</v>
      </c>
      <c r="E127" s="484">
        <f>IF(+J96&lt;F126,J96,D127)</f>
        <v>356479</v>
      </c>
      <c r="F127" s="483">
        <f t="shared" si="53"/>
        <v>5153474</v>
      </c>
      <c r="G127" s="483">
        <f t="shared" si="54"/>
        <v>5331713.5</v>
      </c>
      <c r="H127" s="486">
        <f t="shared" si="55"/>
        <v>963190</v>
      </c>
      <c r="I127" s="540">
        <f t="shared" si="56"/>
        <v>963190</v>
      </c>
      <c r="J127" s="476">
        <f t="shared" si="32"/>
        <v>0</v>
      </c>
      <c r="K127" s="476"/>
      <c r="L127" s="485"/>
      <c r="M127" s="476">
        <f t="shared" si="33"/>
        <v>0</v>
      </c>
      <c r="N127" s="485"/>
      <c r="O127" s="476">
        <f t="shared" si="34"/>
        <v>0</v>
      </c>
      <c r="P127" s="476">
        <f t="shared" si="35"/>
        <v>0</v>
      </c>
    </row>
    <row r="128" spans="2:16">
      <c r="B128" s="160" t="str">
        <f t="shared" si="38"/>
        <v/>
      </c>
      <c r="C128" s="470">
        <f>IF(D93="","-",+C127+1)</f>
        <v>2037</v>
      </c>
      <c r="D128" s="345">
        <f>IF(F127+SUM(E$99:E127)=D$92,F127,D$92-SUM(E$99:E127))</f>
        <v>5153474</v>
      </c>
      <c r="E128" s="484">
        <f>IF(+J96&lt;F127,J96,D128)</f>
        <v>356479</v>
      </c>
      <c r="F128" s="483">
        <f t="shared" si="53"/>
        <v>4796995</v>
      </c>
      <c r="G128" s="483">
        <f t="shared" si="54"/>
        <v>4975234.5</v>
      </c>
      <c r="H128" s="486">
        <f t="shared" si="55"/>
        <v>922625</v>
      </c>
      <c r="I128" s="540">
        <f t="shared" si="56"/>
        <v>922625</v>
      </c>
      <c r="J128" s="476">
        <f t="shared" si="32"/>
        <v>0</v>
      </c>
      <c r="K128" s="476"/>
      <c r="L128" s="485"/>
      <c r="M128" s="476">
        <f t="shared" si="33"/>
        <v>0</v>
      </c>
      <c r="N128" s="485"/>
      <c r="O128" s="476">
        <f t="shared" si="34"/>
        <v>0</v>
      </c>
      <c r="P128" s="476">
        <f t="shared" si="35"/>
        <v>0</v>
      </c>
    </row>
    <row r="129" spans="2:16">
      <c r="B129" s="160" t="str">
        <f t="shared" si="38"/>
        <v/>
      </c>
      <c r="C129" s="470">
        <f>IF(D93="","-",+C128+1)</f>
        <v>2038</v>
      </c>
      <c r="D129" s="345">
        <f>IF(F128+SUM(E$99:E128)=D$92,F128,D$92-SUM(E$99:E128))</f>
        <v>4796995</v>
      </c>
      <c r="E129" s="484">
        <f>IF(+J96&lt;F128,J96,D129)</f>
        <v>356479</v>
      </c>
      <c r="F129" s="483">
        <f t="shared" si="53"/>
        <v>4440516</v>
      </c>
      <c r="G129" s="483">
        <f t="shared" si="54"/>
        <v>4618755.5</v>
      </c>
      <c r="H129" s="486">
        <f t="shared" si="55"/>
        <v>882060</v>
      </c>
      <c r="I129" s="540">
        <f t="shared" si="56"/>
        <v>882060</v>
      </c>
      <c r="J129" s="476">
        <f t="shared" si="32"/>
        <v>0</v>
      </c>
      <c r="K129" s="476"/>
      <c r="L129" s="485"/>
      <c r="M129" s="476">
        <f t="shared" si="33"/>
        <v>0</v>
      </c>
      <c r="N129" s="485"/>
      <c r="O129" s="476">
        <f t="shared" si="34"/>
        <v>0</v>
      </c>
      <c r="P129" s="476">
        <f t="shared" si="35"/>
        <v>0</v>
      </c>
    </row>
    <row r="130" spans="2:16">
      <c r="B130" s="160" t="str">
        <f t="shared" si="38"/>
        <v/>
      </c>
      <c r="C130" s="470">
        <f>IF(D93="","-",+C129+1)</f>
        <v>2039</v>
      </c>
      <c r="D130" s="345">
        <f>IF(F129+SUM(E$99:E129)=D$92,F129,D$92-SUM(E$99:E129))</f>
        <v>4440516</v>
      </c>
      <c r="E130" s="484">
        <f>IF(+J96&lt;F129,J96,D130)</f>
        <v>356479</v>
      </c>
      <c r="F130" s="483">
        <f t="shared" si="53"/>
        <v>4084037</v>
      </c>
      <c r="G130" s="483">
        <f t="shared" si="54"/>
        <v>4262276.5</v>
      </c>
      <c r="H130" s="486">
        <f t="shared" si="55"/>
        <v>841495</v>
      </c>
      <c r="I130" s="540">
        <f t="shared" si="56"/>
        <v>841495</v>
      </c>
      <c r="J130" s="476">
        <f t="shared" si="32"/>
        <v>0</v>
      </c>
      <c r="K130" s="476"/>
      <c r="L130" s="485"/>
      <c r="M130" s="476">
        <f t="shared" si="33"/>
        <v>0</v>
      </c>
      <c r="N130" s="485"/>
      <c r="O130" s="476">
        <f t="shared" si="34"/>
        <v>0</v>
      </c>
      <c r="P130" s="476">
        <f t="shared" si="35"/>
        <v>0</v>
      </c>
    </row>
    <row r="131" spans="2:16">
      <c r="B131" s="160" t="str">
        <f t="shared" si="38"/>
        <v/>
      </c>
      <c r="C131" s="470">
        <f>IF(D93="","-",+C130+1)</f>
        <v>2040</v>
      </c>
      <c r="D131" s="345">
        <f>IF(F130+SUM(E$99:E130)=D$92,F130,D$92-SUM(E$99:E130))</f>
        <v>4084037</v>
      </c>
      <c r="E131" s="484">
        <f>IF(+J96&lt;F130,J96,D131)</f>
        <v>356479</v>
      </c>
      <c r="F131" s="483">
        <f t="shared" ref="F131:F154" si="57">+D131-E131</f>
        <v>3727558</v>
      </c>
      <c r="G131" s="483">
        <f t="shared" ref="G131:G154" si="58">+(F131+D131)/2</f>
        <v>3905797.5</v>
      </c>
      <c r="H131" s="486">
        <f t="shared" si="55"/>
        <v>800931</v>
      </c>
      <c r="I131" s="540">
        <f t="shared" si="56"/>
        <v>800931</v>
      </c>
      <c r="J131" s="476">
        <f t="shared" si="32"/>
        <v>0</v>
      </c>
      <c r="K131" s="476"/>
      <c r="L131" s="485"/>
      <c r="M131" s="476">
        <f t="shared" ref="M131:M154" si="59">IF(L131&lt;&gt;0,+H131-L131,0)</f>
        <v>0</v>
      </c>
      <c r="N131" s="485"/>
      <c r="O131" s="476">
        <f t="shared" ref="O131:O154" si="60">IF(N131&lt;&gt;0,+I131-N131,0)</f>
        <v>0</v>
      </c>
      <c r="P131" s="476">
        <f t="shared" ref="P131:P154" si="61">+O131-M131</f>
        <v>0</v>
      </c>
    </row>
    <row r="132" spans="2:16">
      <c r="B132" s="160" t="str">
        <f t="shared" si="38"/>
        <v/>
      </c>
      <c r="C132" s="470">
        <f>IF(D93="","-",+C131+1)</f>
        <v>2041</v>
      </c>
      <c r="D132" s="345">
        <f>IF(F131+SUM(E$99:E131)=D$92,F131,D$92-SUM(E$99:E131))</f>
        <v>3727558</v>
      </c>
      <c r="E132" s="484">
        <f>IF(+J96&lt;F131,J96,D132)</f>
        <v>356479</v>
      </c>
      <c r="F132" s="483">
        <f t="shared" si="57"/>
        <v>3371079</v>
      </c>
      <c r="G132" s="483">
        <f t="shared" si="58"/>
        <v>3549318.5</v>
      </c>
      <c r="H132" s="486">
        <f t="shared" si="55"/>
        <v>760366</v>
      </c>
      <c r="I132" s="540">
        <f t="shared" si="56"/>
        <v>760366</v>
      </c>
      <c r="J132" s="476">
        <f t="shared" ref="J132:J154" si="62">+I132-H132</f>
        <v>0</v>
      </c>
      <c r="K132" s="476"/>
      <c r="L132" s="485"/>
      <c r="M132" s="476">
        <f t="shared" si="59"/>
        <v>0</v>
      </c>
      <c r="N132" s="485"/>
      <c r="O132" s="476">
        <f t="shared" si="60"/>
        <v>0</v>
      </c>
      <c r="P132" s="476">
        <f t="shared" si="61"/>
        <v>0</v>
      </c>
    </row>
    <row r="133" spans="2:16">
      <c r="B133" s="160" t="str">
        <f t="shared" si="38"/>
        <v/>
      </c>
      <c r="C133" s="470">
        <f>IF(D93="","-",+C132+1)</f>
        <v>2042</v>
      </c>
      <c r="D133" s="345">
        <f>IF(F132+SUM(E$99:E132)=D$92,F132,D$92-SUM(E$99:E132))</f>
        <v>3371079</v>
      </c>
      <c r="E133" s="484">
        <f>IF(+J96&lt;F132,J96,D133)</f>
        <v>356479</v>
      </c>
      <c r="F133" s="483">
        <f t="shared" si="57"/>
        <v>3014600</v>
      </c>
      <c r="G133" s="483">
        <f t="shared" si="58"/>
        <v>3192839.5</v>
      </c>
      <c r="H133" s="486">
        <f t="shared" si="55"/>
        <v>719801</v>
      </c>
      <c r="I133" s="540">
        <f t="shared" si="56"/>
        <v>719801</v>
      </c>
      <c r="J133" s="476">
        <f t="shared" si="62"/>
        <v>0</v>
      </c>
      <c r="K133" s="476"/>
      <c r="L133" s="485"/>
      <c r="M133" s="476">
        <f t="shared" si="59"/>
        <v>0</v>
      </c>
      <c r="N133" s="485"/>
      <c r="O133" s="476">
        <f t="shared" si="60"/>
        <v>0</v>
      </c>
      <c r="P133" s="476">
        <f t="shared" si="61"/>
        <v>0</v>
      </c>
    </row>
    <row r="134" spans="2:16">
      <c r="B134" s="160" t="str">
        <f t="shared" si="38"/>
        <v/>
      </c>
      <c r="C134" s="470">
        <f>IF(D93="","-",+C133+1)</f>
        <v>2043</v>
      </c>
      <c r="D134" s="345">
        <f>IF(F133+SUM(E$99:E133)=D$92,F133,D$92-SUM(E$99:E133))</f>
        <v>3014600</v>
      </c>
      <c r="E134" s="484">
        <f>IF(+J96&lt;F133,J96,D134)</f>
        <v>356479</v>
      </c>
      <c r="F134" s="483">
        <f t="shared" si="57"/>
        <v>2658121</v>
      </c>
      <c r="G134" s="483">
        <f t="shared" si="58"/>
        <v>2836360.5</v>
      </c>
      <c r="H134" s="486">
        <f t="shared" si="55"/>
        <v>679236</v>
      </c>
      <c r="I134" s="540">
        <f t="shared" si="56"/>
        <v>679236</v>
      </c>
      <c r="J134" s="476">
        <f t="shared" si="62"/>
        <v>0</v>
      </c>
      <c r="K134" s="476"/>
      <c r="L134" s="485"/>
      <c r="M134" s="476">
        <f t="shared" si="59"/>
        <v>0</v>
      </c>
      <c r="N134" s="485"/>
      <c r="O134" s="476">
        <f t="shared" si="60"/>
        <v>0</v>
      </c>
      <c r="P134" s="476">
        <f t="shared" si="61"/>
        <v>0</v>
      </c>
    </row>
    <row r="135" spans="2:16">
      <c r="B135" s="160" t="str">
        <f t="shared" si="38"/>
        <v/>
      </c>
      <c r="C135" s="470">
        <f>IF(D93="","-",+C134+1)</f>
        <v>2044</v>
      </c>
      <c r="D135" s="345">
        <f>IF(F134+SUM(E$99:E134)=D$92,F134,D$92-SUM(E$99:E134))</f>
        <v>2658121</v>
      </c>
      <c r="E135" s="484">
        <f>IF(+J96&lt;F134,J96,D135)</f>
        <v>356479</v>
      </c>
      <c r="F135" s="483">
        <f t="shared" si="57"/>
        <v>2301642</v>
      </c>
      <c r="G135" s="483">
        <f t="shared" si="58"/>
        <v>2479881.5</v>
      </c>
      <c r="H135" s="486">
        <f t="shared" si="55"/>
        <v>638672</v>
      </c>
      <c r="I135" s="540">
        <f t="shared" si="56"/>
        <v>638672</v>
      </c>
      <c r="J135" s="476">
        <f t="shared" si="62"/>
        <v>0</v>
      </c>
      <c r="K135" s="476"/>
      <c r="L135" s="485"/>
      <c r="M135" s="476">
        <f t="shared" si="59"/>
        <v>0</v>
      </c>
      <c r="N135" s="485"/>
      <c r="O135" s="476">
        <f t="shared" si="60"/>
        <v>0</v>
      </c>
      <c r="P135" s="476">
        <f t="shared" si="61"/>
        <v>0</v>
      </c>
    </row>
    <row r="136" spans="2:16">
      <c r="B136" s="160" t="str">
        <f t="shared" si="38"/>
        <v/>
      </c>
      <c r="C136" s="470">
        <f>IF(D93="","-",+C135+1)</f>
        <v>2045</v>
      </c>
      <c r="D136" s="345">
        <f>IF(F135+SUM(E$99:E135)=D$92,F135,D$92-SUM(E$99:E135))</f>
        <v>2301642</v>
      </c>
      <c r="E136" s="484">
        <f>IF(+J96&lt;F135,J96,D136)</f>
        <v>356479</v>
      </c>
      <c r="F136" s="483">
        <f t="shared" si="57"/>
        <v>1945163</v>
      </c>
      <c r="G136" s="483">
        <f t="shared" si="58"/>
        <v>2123402.5</v>
      </c>
      <c r="H136" s="486">
        <f t="shared" si="55"/>
        <v>598107</v>
      </c>
      <c r="I136" s="540">
        <f t="shared" si="56"/>
        <v>598107</v>
      </c>
      <c r="J136" s="476">
        <f t="shared" si="62"/>
        <v>0</v>
      </c>
      <c r="K136" s="476"/>
      <c r="L136" s="485"/>
      <c r="M136" s="476">
        <f t="shared" si="59"/>
        <v>0</v>
      </c>
      <c r="N136" s="485"/>
      <c r="O136" s="476">
        <f t="shared" si="60"/>
        <v>0</v>
      </c>
      <c r="P136" s="476">
        <f t="shared" si="61"/>
        <v>0</v>
      </c>
    </row>
    <row r="137" spans="2:16">
      <c r="B137" s="160" t="str">
        <f t="shared" si="38"/>
        <v/>
      </c>
      <c r="C137" s="470">
        <f>IF(D93="","-",+C136+1)</f>
        <v>2046</v>
      </c>
      <c r="D137" s="345">
        <f>IF(F136+SUM(E$99:E136)=D$92,F136,D$92-SUM(E$99:E136))</f>
        <v>1945163</v>
      </c>
      <c r="E137" s="484">
        <f>IF(+J96&lt;F136,J96,D137)</f>
        <v>356479</v>
      </c>
      <c r="F137" s="483">
        <f t="shared" si="57"/>
        <v>1588684</v>
      </c>
      <c r="G137" s="483">
        <f t="shared" si="58"/>
        <v>1766923.5</v>
      </c>
      <c r="H137" s="486">
        <f t="shared" si="55"/>
        <v>557542</v>
      </c>
      <c r="I137" s="540">
        <f t="shared" si="56"/>
        <v>557542</v>
      </c>
      <c r="J137" s="476">
        <f t="shared" si="62"/>
        <v>0</v>
      </c>
      <c r="K137" s="476"/>
      <c r="L137" s="485"/>
      <c r="M137" s="476">
        <f t="shared" si="59"/>
        <v>0</v>
      </c>
      <c r="N137" s="485"/>
      <c r="O137" s="476">
        <f t="shared" si="60"/>
        <v>0</v>
      </c>
      <c r="P137" s="476">
        <f t="shared" si="61"/>
        <v>0</v>
      </c>
    </row>
    <row r="138" spans="2:16">
      <c r="B138" s="160" t="str">
        <f t="shared" si="38"/>
        <v/>
      </c>
      <c r="C138" s="470">
        <f>IF(D93="","-",+C137+1)</f>
        <v>2047</v>
      </c>
      <c r="D138" s="345">
        <f>IF(F137+SUM(E$99:E137)=D$92,F137,D$92-SUM(E$99:E137))</f>
        <v>1588684</v>
      </c>
      <c r="E138" s="484">
        <f>IF(+J96&lt;F137,J96,D138)</f>
        <v>356479</v>
      </c>
      <c r="F138" s="483">
        <f t="shared" si="57"/>
        <v>1232205</v>
      </c>
      <c r="G138" s="483">
        <f t="shared" si="58"/>
        <v>1410444.5</v>
      </c>
      <c r="H138" s="486">
        <f t="shared" si="55"/>
        <v>516977</v>
      </c>
      <c r="I138" s="540">
        <f t="shared" si="56"/>
        <v>516977</v>
      </c>
      <c r="J138" s="476">
        <f t="shared" si="62"/>
        <v>0</v>
      </c>
      <c r="K138" s="476"/>
      <c r="L138" s="485"/>
      <c r="M138" s="476">
        <f t="shared" si="59"/>
        <v>0</v>
      </c>
      <c r="N138" s="485"/>
      <c r="O138" s="476">
        <f t="shared" si="60"/>
        <v>0</v>
      </c>
      <c r="P138" s="476">
        <f t="shared" si="61"/>
        <v>0</v>
      </c>
    </row>
    <row r="139" spans="2:16">
      <c r="B139" s="160" t="str">
        <f t="shared" si="38"/>
        <v/>
      </c>
      <c r="C139" s="470">
        <f>IF(D93="","-",+C138+1)</f>
        <v>2048</v>
      </c>
      <c r="D139" s="345">
        <f>IF(F138+SUM(E$99:E138)=D$92,F138,D$92-SUM(E$99:E138))</f>
        <v>1232205</v>
      </c>
      <c r="E139" s="484">
        <f>IF(+J96&lt;F138,J96,D139)</f>
        <v>356479</v>
      </c>
      <c r="F139" s="483">
        <f t="shared" si="57"/>
        <v>875726</v>
      </c>
      <c r="G139" s="483">
        <f t="shared" si="58"/>
        <v>1053965.5</v>
      </c>
      <c r="H139" s="486">
        <f t="shared" si="55"/>
        <v>476413</v>
      </c>
      <c r="I139" s="540">
        <f t="shared" si="56"/>
        <v>476413</v>
      </c>
      <c r="J139" s="476">
        <f t="shared" si="62"/>
        <v>0</v>
      </c>
      <c r="K139" s="476"/>
      <c r="L139" s="485"/>
      <c r="M139" s="476">
        <f t="shared" si="59"/>
        <v>0</v>
      </c>
      <c r="N139" s="485"/>
      <c r="O139" s="476">
        <f t="shared" si="60"/>
        <v>0</v>
      </c>
      <c r="P139" s="476">
        <f t="shared" si="61"/>
        <v>0</v>
      </c>
    </row>
    <row r="140" spans="2:16">
      <c r="B140" s="160" t="str">
        <f t="shared" si="38"/>
        <v/>
      </c>
      <c r="C140" s="470">
        <f>IF(D93="","-",+C139+1)</f>
        <v>2049</v>
      </c>
      <c r="D140" s="345">
        <f>IF(F139+SUM(E$99:E139)=D$92,F139,D$92-SUM(E$99:E139))</f>
        <v>875726</v>
      </c>
      <c r="E140" s="484">
        <f>IF(+J96&lt;F139,J96,D140)</f>
        <v>356479</v>
      </c>
      <c r="F140" s="483">
        <f t="shared" si="57"/>
        <v>519247</v>
      </c>
      <c r="G140" s="483">
        <f t="shared" si="58"/>
        <v>697486.5</v>
      </c>
      <c r="H140" s="486">
        <f t="shared" si="55"/>
        <v>435848</v>
      </c>
      <c r="I140" s="540">
        <f t="shared" si="56"/>
        <v>435848</v>
      </c>
      <c r="J140" s="476">
        <f t="shared" si="62"/>
        <v>0</v>
      </c>
      <c r="K140" s="476"/>
      <c r="L140" s="485"/>
      <c r="M140" s="476">
        <f t="shared" si="59"/>
        <v>0</v>
      </c>
      <c r="N140" s="485"/>
      <c r="O140" s="476">
        <f t="shared" si="60"/>
        <v>0</v>
      </c>
      <c r="P140" s="476">
        <f t="shared" si="61"/>
        <v>0</v>
      </c>
    </row>
    <row r="141" spans="2:16">
      <c r="B141" s="160" t="str">
        <f t="shared" si="38"/>
        <v/>
      </c>
      <c r="C141" s="470">
        <f>IF(D93="","-",+C140+1)</f>
        <v>2050</v>
      </c>
      <c r="D141" s="345">
        <f>IF(F140+SUM(E$99:E140)=D$92,F140,D$92-SUM(E$99:E140))</f>
        <v>519247</v>
      </c>
      <c r="E141" s="484">
        <f>IF(+J96&lt;F140,J96,D141)</f>
        <v>356479</v>
      </c>
      <c r="F141" s="483">
        <f t="shared" si="57"/>
        <v>162768</v>
      </c>
      <c r="G141" s="483">
        <f t="shared" si="58"/>
        <v>341007.5</v>
      </c>
      <c r="H141" s="486">
        <f t="shared" si="55"/>
        <v>395283</v>
      </c>
      <c r="I141" s="540">
        <f t="shared" si="56"/>
        <v>395283</v>
      </c>
      <c r="J141" s="476">
        <f t="shared" si="62"/>
        <v>0</v>
      </c>
      <c r="K141" s="476"/>
      <c r="L141" s="485"/>
      <c r="M141" s="476">
        <f t="shared" si="59"/>
        <v>0</v>
      </c>
      <c r="N141" s="485"/>
      <c r="O141" s="476">
        <f t="shared" si="60"/>
        <v>0</v>
      </c>
      <c r="P141" s="476">
        <f t="shared" si="61"/>
        <v>0</v>
      </c>
    </row>
    <row r="142" spans="2:16">
      <c r="B142" s="160" t="str">
        <f t="shared" si="38"/>
        <v/>
      </c>
      <c r="C142" s="470">
        <f>IF(D93="","-",+C141+1)</f>
        <v>2051</v>
      </c>
      <c r="D142" s="345">
        <f>IF(F141+SUM(E$99:E141)=D$92,F141,D$92-SUM(E$99:E141))</f>
        <v>162768</v>
      </c>
      <c r="E142" s="484">
        <f>IF(+J96&lt;F141,J96,D142)</f>
        <v>162768</v>
      </c>
      <c r="F142" s="483">
        <f t="shared" si="57"/>
        <v>0</v>
      </c>
      <c r="G142" s="483">
        <f t="shared" si="58"/>
        <v>81384</v>
      </c>
      <c r="H142" s="486">
        <f t="shared" si="55"/>
        <v>172029</v>
      </c>
      <c r="I142" s="540">
        <f t="shared" si="56"/>
        <v>172029</v>
      </c>
      <c r="J142" s="476">
        <f t="shared" si="62"/>
        <v>0</v>
      </c>
      <c r="K142" s="476"/>
      <c r="L142" s="485"/>
      <c r="M142" s="476">
        <f t="shared" si="59"/>
        <v>0</v>
      </c>
      <c r="N142" s="485"/>
      <c r="O142" s="476">
        <f t="shared" si="60"/>
        <v>0</v>
      </c>
      <c r="P142" s="476">
        <f t="shared" si="61"/>
        <v>0</v>
      </c>
    </row>
    <row r="143" spans="2:16">
      <c r="B143" s="160" t="str">
        <f t="shared" si="38"/>
        <v/>
      </c>
      <c r="C143" s="470">
        <f>IF(D93="","-",+C142+1)</f>
        <v>2052</v>
      </c>
      <c r="D143" s="345">
        <f>IF(F142+SUM(E$99:E142)=D$92,F142,D$92-SUM(E$99:E142))</f>
        <v>0</v>
      </c>
      <c r="E143" s="484">
        <f>IF(+J96&lt;F142,J96,D143)</f>
        <v>0</v>
      </c>
      <c r="F143" s="483">
        <f t="shared" si="57"/>
        <v>0</v>
      </c>
      <c r="G143" s="483">
        <f t="shared" si="58"/>
        <v>0</v>
      </c>
      <c r="H143" s="486">
        <f t="shared" si="55"/>
        <v>0</v>
      </c>
      <c r="I143" s="540">
        <f t="shared" si="56"/>
        <v>0</v>
      </c>
      <c r="J143" s="476">
        <f t="shared" si="62"/>
        <v>0</v>
      </c>
      <c r="K143" s="476"/>
      <c r="L143" s="485"/>
      <c r="M143" s="476">
        <f t="shared" si="59"/>
        <v>0</v>
      </c>
      <c r="N143" s="485"/>
      <c r="O143" s="476">
        <f t="shared" si="60"/>
        <v>0</v>
      </c>
      <c r="P143" s="476">
        <f t="shared" si="61"/>
        <v>0</v>
      </c>
    </row>
    <row r="144" spans="2:16">
      <c r="B144" s="160" t="str">
        <f t="shared" si="38"/>
        <v/>
      </c>
      <c r="C144" s="470">
        <f>IF(D93="","-",+C143+1)</f>
        <v>2053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57"/>
        <v>0</v>
      </c>
      <c r="G144" s="483">
        <f t="shared" si="58"/>
        <v>0</v>
      </c>
      <c r="H144" s="486">
        <f t="shared" si="55"/>
        <v>0</v>
      </c>
      <c r="I144" s="540">
        <f t="shared" si="56"/>
        <v>0</v>
      </c>
      <c r="J144" s="476">
        <f t="shared" si="62"/>
        <v>0</v>
      </c>
      <c r="K144" s="476"/>
      <c r="L144" s="485"/>
      <c r="M144" s="476">
        <f t="shared" si="59"/>
        <v>0</v>
      </c>
      <c r="N144" s="485"/>
      <c r="O144" s="476">
        <f t="shared" si="60"/>
        <v>0</v>
      </c>
      <c r="P144" s="476">
        <f t="shared" si="61"/>
        <v>0</v>
      </c>
    </row>
    <row r="145" spans="2:16">
      <c r="B145" s="160" t="str">
        <f t="shared" si="38"/>
        <v/>
      </c>
      <c r="C145" s="470">
        <f>IF(D93="","-",+C144+1)</f>
        <v>2054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57"/>
        <v>0</v>
      </c>
      <c r="G145" s="483">
        <f t="shared" si="58"/>
        <v>0</v>
      </c>
      <c r="H145" s="486">
        <f t="shared" si="55"/>
        <v>0</v>
      </c>
      <c r="I145" s="540">
        <f t="shared" si="56"/>
        <v>0</v>
      </c>
      <c r="J145" s="476">
        <f t="shared" si="62"/>
        <v>0</v>
      </c>
      <c r="K145" s="476"/>
      <c r="L145" s="485"/>
      <c r="M145" s="476">
        <f t="shared" si="59"/>
        <v>0</v>
      </c>
      <c r="N145" s="485"/>
      <c r="O145" s="476">
        <f t="shared" si="60"/>
        <v>0</v>
      </c>
      <c r="P145" s="476">
        <f t="shared" si="61"/>
        <v>0</v>
      </c>
    </row>
    <row r="146" spans="2:16">
      <c r="B146" s="160" t="str">
        <f t="shared" si="38"/>
        <v/>
      </c>
      <c r="C146" s="470">
        <f>IF(D93="","-",+C145+1)</f>
        <v>2055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si="57"/>
        <v>0</v>
      </c>
      <c r="G146" s="483">
        <f t="shared" si="58"/>
        <v>0</v>
      </c>
      <c r="H146" s="486">
        <f t="shared" si="55"/>
        <v>0</v>
      </c>
      <c r="I146" s="540">
        <f t="shared" si="56"/>
        <v>0</v>
      </c>
      <c r="J146" s="476">
        <f t="shared" si="62"/>
        <v>0</v>
      </c>
      <c r="K146" s="476"/>
      <c r="L146" s="485"/>
      <c r="M146" s="476">
        <f t="shared" si="59"/>
        <v>0</v>
      </c>
      <c r="N146" s="485"/>
      <c r="O146" s="476">
        <f t="shared" si="60"/>
        <v>0</v>
      </c>
      <c r="P146" s="476">
        <f t="shared" si="61"/>
        <v>0</v>
      </c>
    </row>
    <row r="147" spans="2:16">
      <c r="B147" s="160" t="str">
        <f t="shared" si="38"/>
        <v/>
      </c>
      <c r="C147" s="470">
        <f>IF(D93="","-",+C146+1)</f>
        <v>2056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57"/>
        <v>0</v>
      </c>
      <c r="G147" s="483">
        <f t="shared" si="58"/>
        <v>0</v>
      </c>
      <c r="H147" s="486">
        <f t="shared" si="55"/>
        <v>0</v>
      </c>
      <c r="I147" s="540">
        <f t="shared" si="56"/>
        <v>0</v>
      </c>
      <c r="J147" s="476">
        <f t="shared" si="62"/>
        <v>0</v>
      </c>
      <c r="K147" s="476"/>
      <c r="L147" s="485"/>
      <c r="M147" s="476">
        <f t="shared" si="59"/>
        <v>0</v>
      </c>
      <c r="N147" s="485"/>
      <c r="O147" s="476">
        <f t="shared" si="60"/>
        <v>0</v>
      </c>
      <c r="P147" s="476">
        <f t="shared" si="61"/>
        <v>0</v>
      </c>
    </row>
    <row r="148" spans="2:16">
      <c r="B148" s="160" t="str">
        <f t="shared" si="38"/>
        <v/>
      </c>
      <c r="C148" s="470">
        <f>IF(D93="","-",+C147+1)</f>
        <v>2057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57"/>
        <v>0</v>
      </c>
      <c r="G148" s="483">
        <f t="shared" si="58"/>
        <v>0</v>
      </c>
      <c r="H148" s="486">
        <f t="shared" si="55"/>
        <v>0</v>
      </c>
      <c r="I148" s="540">
        <f t="shared" si="56"/>
        <v>0</v>
      </c>
      <c r="J148" s="476">
        <f t="shared" si="62"/>
        <v>0</v>
      </c>
      <c r="K148" s="476"/>
      <c r="L148" s="485"/>
      <c r="M148" s="476">
        <f t="shared" si="59"/>
        <v>0</v>
      </c>
      <c r="N148" s="485"/>
      <c r="O148" s="476">
        <f t="shared" si="60"/>
        <v>0</v>
      </c>
      <c r="P148" s="476">
        <f t="shared" si="61"/>
        <v>0</v>
      </c>
    </row>
    <row r="149" spans="2:16">
      <c r="B149" s="160" t="str">
        <f t="shared" si="38"/>
        <v/>
      </c>
      <c r="C149" s="470">
        <f>IF(D93="","-",+C148+1)</f>
        <v>2058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57"/>
        <v>0</v>
      </c>
      <c r="G149" s="483">
        <f t="shared" si="58"/>
        <v>0</v>
      </c>
      <c r="H149" s="486">
        <f t="shared" si="55"/>
        <v>0</v>
      </c>
      <c r="I149" s="540">
        <f t="shared" si="56"/>
        <v>0</v>
      </c>
      <c r="J149" s="476">
        <f t="shared" si="62"/>
        <v>0</v>
      </c>
      <c r="K149" s="476"/>
      <c r="L149" s="485"/>
      <c r="M149" s="476">
        <f t="shared" si="59"/>
        <v>0</v>
      </c>
      <c r="N149" s="485"/>
      <c r="O149" s="476">
        <f t="shared" si="60"/>
        <v>0</v>
      </c>
      <c r="P149" s="476">
        <f t="shared" si="61"/>
        <v>0</v>
      </c>
    </row>
    <row r="150" spans="2:16">
      <c r="B150" s="160" t="str">
        <f t="shared" si="38"/>
        <v/>
      </c>
      <c r="C150" s="470">
        <f>IF(D93="","-",+C149+1)</f>
        <v>2059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57"/>
        <v>0</v>
      </c>
      <c r="G150" s="483">
        <f t="shared" si="58"/>
        <v>0</v>
      </c>
      <c r="H150" s="486">
        <f t="shared" si="55"/>
        <v>0</v>
      </c>
      <c r="I150" s="540">
        <f t="shared" si="56"/>
        <v>0</v>
      </c>
      <c r="J150" s="476">
        <f t="shared" si="62"/>
        <v>0</v>
      </c>
      <c r="K150" s="476"/>
      <c r="L150" s="485"/>
      <c r="M150" s="476">
        <f t="shared" si="59"/>
        <v>0</v>
      </c>
      <c r="N150" s="485"/>
      <c r="O150" s="476">
        <f t="shared" si="60"/>
        <v>0</v>
      </c>
      <c r="P150" s="476">
        <f t="shared" si="61"/>
        <v>0</v>
      </c>
    </row>
    <row r="151" spans="2:16">
      <c r="B151" s="160" t="str">
        <f t="shared" si="38"/>
        <v/>
      </c>
      <c r="C151" s="470">
        <f>IF(D93="","-",+C150+1)</f>
        <v>2060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57"/>
        <v>0</v>
      </c>
      <c r="G151" s="483">
        <f t="shared" si="58"/>
        <v>0</v>
      </c>
      <c r="H151" s="486">
        <f t="shared" si="55"/>
        <v>0</v>
      </c>
      <c r="I151" s="540">
        <f t="shared" si="56"/>
        <v>0</v>
      </c>
      <c r="J151" s="476">
        <f t="shared" si="62"/>
        <v>0</v>
      </c>
      <c r="K151" s="476"/>
      <c r="L151" s="485"/>
      <c r="M151" s="476">
        <f t="shared" si="59"/>
        <v>0</v>
      </c>
      <c r="N151" s="485"/>
      <c r="O151" s="476">
        <f t="shared" si="60"/>
        <v>0</v>
      </c>
      <c r="P151" s="476">
        <f t="shared" si="61"/>
        <v>0</v>
      </c>
    </row>
    <row r="152" spans="2:16">
      <c r="B152" s="160" t="str">
        <f t="shared" si="38"/>
        <v/>
      </c>
      <c r="C152" s="470">
        <f>IF(D93="","-",+C151+1)</f>
        <v>2061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57"/>
        <v>0</v>
      </c>
      <c r="G152" s="483">
        <f t="shared" si="58"/>
        <v>0</v>
      </c>
      <c r="H152" s="486">
        <f t="shared" si="55"/>
        <v>0</v>
      </c>
      <c r="I152" s="540">
        <f t="shared" si="56"/>
        <v>0</v>
      </c>
      <c r="J152" s="476">
        <f t="shared" si="62"/>
        <v>0</v>
      </c>
      <c r="K152" s="476"/>
      <c r="L152" s="485"/>
      <c r="M152" s="476">
        <f t="shared" si="59"/>
        <v>0</v>
      </c>
      <c r="N152" s="485"/>
      <c r="O152" s="476">
        <f t="shared" si="60"/>
        <v>0</v>
      </c>
      <c r="P152" s="476">
        <f t="shared" si="61"/>
        <v>0</v>
      </c>
    </row>
    <row r="153" spans="2:16">
      <c r="B153" s="160" t="str">
        <f t="shared" si="38"/>
        <v/>
      </c>
      <c r="C153" s="470">
        <f>IF(D93="","-",+C152+1)</f>
        <v>2062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57"/>
        <v>0</v>
      </c>
      <c r="G153" s="483">
        <f t="shared" si="58"/>
        <v>0</v>
      </c>
      <c r="H153" s="486">
        <f t="shared" si="55"/>
        <v>0</v>
      </c>
      <c r="I153" s="540">
        <f t="shared" si="56"/>
        <v>0</v>
      </c>
      <c r="J153" s="476">
        <f t="shared" si="62"/>
        <v>0</v>
      </c>
      <c r="K153" s="476"/>
      <c r="L153" s="485"/>
      <c r="M153" s="476">
        <f t="shared" si="59"/>
        <v>0</v>
      </c>
      <c r="N153" s="485"/>
      <c r="O153" s="476">
        <f t="shared" si="60"/>
        <v>0</v>
      </c>
      <c r="P153" s="476">
        <f t="shared" si="61"/>
        <v>0</v>
      </c>
    </row>
    <row r="154" spans="2:16" ht="13.5" thickBot="1">
      <c r="B154" s="160" t="str">
        <f t="shared" si="38"/>
        <v/>
      </c>
      <c r="C154" s="487">
        <f>IF(D93="","-",+C153+1)</f>
        <v>2063</v>
      </c>
      <c r="D154" s="541">
        <f>IF(F153+SUM(E$99:E153)=D$92,F153,D$92-SUM(E$99:E153))</f>
        <v>0</v>
      </c>
      <c r="E154" s="542">
        <f>IF(+J96&lt;F153,J96,D154)</f>
        <v>0</v>
      </c>
      <c r="F154" s="488">
        <f t="shared" si="57"/>
        <v>0</v>
      </c>
      <c r="G154" s="488">
        <f t="shared" si="58"/>
        <v>0</v>
      </c>
      <c r="H154" s="490">
        <f t="shared" si="55"/>
        <v>0</v>
      </c>
      <c r="I154" s="543">
        <f t="shared" si="56"/>
        <v>0</v>
      </c>
      <c r="J154" s="493">
        <f t="shared" si="62"/>
        <v>0</v>
      </c>
      <c r="K154" s="476"/>
      <c r="L154" s="492"/>
      <c r="M154" s="493">
        <f t="shared" si="59"/>
        <v>0</v>
      </c>
      <c r="N154" s="492"/>
      <c r="O154" s="493">
        <f t="shared" si="60"/>
        <v>0</v>
      </c>
      <c r="P154" s="493">
        <f t="shared" si="61"/>
        <v>0</v>
      </c>
    </row>
    <row r="155" spans="2:16">
      <c r="C155" s="345" t="s">
        <v>77</v>
      </c>
      <c r="D155" s="346"/>
      <c r="E155" s="346">
        <f>SUM(E99:E154)</f>
        <v>14615636</v>
      </c>
      <c r="F155" s="346"/>
      <c r="G155" s="346"/>
      <c r="H155" s="346">
        <f>SUM(H99:H154)</f>
        <v>55046463.243321061</v>
      </c>
      <c r="I155" s="346">
        <f>SUM(I99:I154)</f>
        <v>55046463.243321061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 t="s">
        <v>100</v>
      </c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94" t="s">
        <v>107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78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 t="s">
        <v>79</v>
      </c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64" priority="1" stopIfTrue="1" operator="equal">
      <formula>$I$10</formula>
    </cfRule>
  </conditionalFormatting>
  <conditionalFormatting sqref="C99:C154">
    <cfRule type="cellIs" dxfId="63" priority="2" stopIfTrue="1" operator="equal">
      <formula>$J$92</formula>
    </cfRule>
  </conditionalFormatting>
  <pageMargins left="0.5" right="0.25" top="1" bottom="0.25" header="0.25" footer="0.5"/>
  <pageSetup scale="47" fitToHeight="0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3"/>
  <dimension ref="A1:P162"/>
  <sheetViews>
    <sheetView topLeftCell="A93" zoomScaleNormal="100" zoomScaleSheetLayoutView="75" workbookViewId="0">
      <selection activeCell="V52" sqref="V5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"&amp;RIGHT(MID(CELL("filename",$A$1),FIND("]",CELL("filename",$A$1))+1,256),1)&amp;" of "&amp;COUNT('P.001:P.xyz - blank'!$P$3)-1</f>
        <v>PSO Project 5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36951.010609631776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36951.010609631776</v>
      </c>
      <c r="O6" s="231"/>
      <c r="P6" s="231"/>
    </row>
    <row r="7" spans="1:16" ht="13.5" thickBot="1">
      <c r="C7" s="429" t="s">
        <v>46</v>
      </c>
      <c r="D7" s="430" t="s">
        <v>206</v>
      </c>
      <c r="E7" s="328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/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A9" s="155"/>
      <c r="C9" s="438" t="s">
        <v>48</v>
      </c>
      <c r="D9" s="439" t="s">
        <v>83</v>
      </c>
      <c r="E9" s="575" t="s">
        <v>350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387742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2006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5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10203.736842105263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2006</v>
      </c>
      <c r="D17" s="471">
        <v>387742</v>
      </c>
      <c r="E17" s="472">
        <v>3877</v>
      </c>
      <c r="F17" s="471">
        <v>383865</v>
      </c>
      <c r="G17" s="472">
        <v>0</v>
      </c>
      <c r="H17" s="479">
        <v>0</v>
      </c>
      <c r="I17" s="473">
        <f t="shared" ref="I17:I48" si="0">H17-G17</f>
        <v>0</v>
      </c>
      <c r="J17" s="473"/>
      <c r="K17" s="552">
        <v>0</v>
      </c>
      <c r="L17" s="475">
        <f t="shared" ref="L17:L48" si="1">IF(K17&lt;&gt;0,+G17-K17,0)</f>
        <v>0</v>
      </c>
      <c r="M17" s="552">
        <v>0</v>
      </c>
      <c r="N17" s="475">
        <f t="shared" ref="N17:N48" si="2">IF(M17&lt;&gt;0,+H17-M17,0)</f>
        <v>0</v>
      </c>
      <c r="O17" s="476">
        <f t="shared" ref="O17:O48" si="3">+N17-L17</f>
        <v>0</v>
      </c>
      <c r="P17" s="241"/>
    </row>
    <row r="18" spans="2:16">
      <c r="B18" s="160"/>
      <c r="C18" s="470">
        <f>IF(D11="","-",+C17+1)</f>
        <v>2007</v>
      </c>
      <c r="D18" s="477">
        <v>383865</v>
      </c>
      <c r="E18" s="478">
        <v>7755</v>
      </c>
      <c r="F18" s="477">
        <v>376110</v>
      </c>
      <c r="G18" s="477">
        <v>59847</v>
      </c>
      <c r="H18" s="477">
        <v>59847</v>
      </c>
      <c r="I18" s="473">
        <f t="shared" si="0"/>
        <v>0</v>
      </c>
      <c r="J18" s="473"/>
      <c r="K18" s="474">
        <v>59847</v>
      </c>
      <c r="L18" s="476">
        <f t="shared" si="1"/>
        <v>0</v>
      </c>
      <c r="M18" s="474">
        <v>59847</v>
      </c>
      <c r="N18" s="476">
        <f t="shared" si="2"/>
        <v>0</v>
      </c>
      <c r="O18" s="476">
        <f t="shared" si="3"/>
        <v>0</v>
      </c>
      <c r="P18" s="241"/>
    </row>
    <row r="19" spans="2:16">
      <c r="B19" s="160"/>
      <c r="C19" s="470">
        <f>IF(D11="","-",+C18+1)</f>
        <v>2008</v>
      </c>
      <c r="D19" s="477">
        <v>376557</v>
      </c>
      <c r="E19" s="559">
        <v>7457</v>
      </c>
      <c r="F19" s="477">
        <v>369100</v>
      </c>
      <c r="G19" s="477">
        <v>62208</v>
      </c>
      <c r="H19" s="477">
        <v>62208</v>
      </c>
      <c r="I19" s="473">
        <f t="shared" si="0"/>
        <v>0</v>
      </c>
      <c r="J19" s="473"/>
      <c r="K19" s="474">
        <v>62208</v>
      </c>
      <c r="L19" s="476">
        <f t="shared" si="1"/>
        <v>0</v>
      </c>
      <c r="M19" s="474">
        <v>62208</v>
      </c>
      <c r="N19" s="476">
        <f t="shared" si="2"/>
        <v>0</v>
      </c>
      <c r="O19" s="476">
        <f t="shared" si="3"/>
        <v>0</v>
      </c>
      <c r="P19" s="241"/>
    </row>
    <row r="20" spans="2:16">
      <c r="B20" s="160"/>
      <c r="C20" s="470">
        <f>IF(D11="","-",+C19+1)</f>
        <v>2009</v>
      </c>
      <c r="D20" s="477">
        <v>368843</v>
      </c>
      <c r="E20" s="559">
        <v>7316</v>
      </c>
      <c r="F20" s="477">
        <v>361527</v>
      </c>
      <c r="G20" s="477">
        <v>62704</v>
      </c>
      <c r="H20" s="477">
        <v>62704</v>
      </c>
      <c r="I20" s="473">
        <f t="shared" si="0"/>
        <v>0</v>
      </c>
      <c r="J20" s="473"/>
      <c r="K20" s="474">
        <v>62704</v>
      </c>
      <c r="L20" s="476">
        <f t="shared" si="1"/>
        <v>0</v>
      </c>
      <c r="M20" s="474">
        <v>62704</v>
      </c>
      <c r="N20" s="476">
        <f t="shared" si="2"/>
        <v>0</v>
      </c>
      <c r="O20" s="476">
        <f t="shared" si="3"/>
        <v>0</v>
      </c>
      <c r="P20" s="241"/>
    </row>
    <row r="21" spans="2:16">
      <c r="B21" s="160"/>
      <c r="C21" s="470">
        <f>IF(D12="","-",+C20+1)</f>
        <v>2010</v>
      </c>
      <c r="D21" s="477">
        <v>361337</v>
      </c>
      <c r="E21" s="478">
        <v>6923.9642857142853</v>
      </c>
      <c r="F21" s="477">
        <v>354413.03571428574</v>
      </c>
      <c r="G21" s="478">
        <v>58064.529944767884</v>
      </c>
      <c r="H21" s="479">
        <v>58064.529944767884</v>
      </c>
      <c r="I21" s="473">
        <f t="shared" si="0"/>
        <v>0</v>
      </c>
      <c r="J21" s="473"/>
      <c r="K21" s="538">
        <f t="shared" ref="K21:K26" si="4">G21</f>
        <v>58064.529944767884</v>
      </c>
      <c r="L21" s="476">
        <f t="shared" si="1"/>
        <v>0</v>
      </c>
      <c r="M21" s="538">
        <f t="shared" ref="M21:M26" si="5">H21</f>
        <v>58064.529944767884</v>
      </c>
      <c r="N21" s="476">
        <f t="shared" si="2"/>
        <v>0</v>
      </c>
      <c r="O21" s="476">
        <f t="shared" si="3"/>
        <v>0</v>
      </c>
      <c r="P21" s="241"/>
    </row>
    <row r="22" spans="2:16">
      <c r="B22" s="160" t="str">
        <f t="shared" ref="B22:B72" si="6">IF(D22=F21,"","IU")</f>
        <v/>
      </c>
      <c r="C22" s="470">
        <f>IF(D11="","-",+C21+1)</f>
        <v>2011</v>
      </c>
      <c r="D22" s="477">
        <v>354413.03571428574</v>
      </c>
      <c r="E22" s="478">
        <v>7602.7843137254904</v>
      </c>
      <c r="F22" s="477">
        <v>346810.25140056026</v>
      </c>
      <c r="G22" s="478">
        <v>61893.620096156621</v>
      </c>
      <c r="H22" s="479">
        <v>61893.620096156621</v>
      </c>
      <c r="I22" s="473">
        <f t="shared" si="0"/>
        <v>0</v>
      </c>
      <c r="J22" s="473"/>
      <c r="K22" s="474">
        <f t="shared" si="4"/>
        <v>61893.620096156621</v>
      </c>
      <c r="L22" s="548">
        <f t="shared" si="1"/>
        <v>0</v>
      </c>
      <c r="M22" s="474">
        <f t="shared" si="5"/>
        <v>61893.620096156621</v>
      </c>
      <c r="N22" s="476">
        <f t="shared" si="2"/>
        <v>0</v>
      </c>
      <c r="O22" s="476">
        <f t="shared" si="3"/>
        <v>0</v>
      </c>
      <c r="P22" s="241"/>
    </row>
    <row r="23" spans="2:16">
      <c r="B23" s="160" t="str">
        <f t="shared" si="6"/>
        <v/>
      </c>
      <c r="C23" s="470">
        <f>IF(D11="","-",+C22+1)</f>
        <v>2012</v>
      </c>
      <c r="D23" s="477">
        <v>346810.25140056026</v>
      </c>
      <c r="E23" s="478">
        <v>7456.5769230769229</v>
      </c>
      <c r="F23" s="477">
        <v>339353.67447748332</v>
      </c>
      <c r="G23" s="478">
        <v>54696.893588724874</v>
      </c>
      <c r="H23" s="479">
        <v>54696.893588724874</v>
      </c>
      <c r="I23" s="473">
        <f t="shared" si="0"/>
        <v>0</v>
      </c>
      <c r="J23" s="473"/>
      <c r="K23" s="474">
        <f t="shared" si="4"/>
        <v>54696.893588724874</v>
      </c>
      <c r="L23" s="548">
        <f t="shared" si="1"/>
        <v>0</v>
      </c>
      <c r="M23" s="474">
        <f t="shared" si="5"/>
        <v>54696.893588724874</v>
      </c>
      <c r="N23" s="476">
        <f t="shared" si="2"/>
        <v>0</v>
      </c>
      <c r="O23" s="476">
        <f t="shared" si="3"/>
        <v>0</v>
      </c>
      <c r="P23" s="241"/>
    </row>
    <row r="24" spans="2:16">
      <c r="B24" s="160" t="str">
        <f t="shared" si="6"/>
        <v/>
      </c>
      <c r="C24" s="470">
        <f>IF(D11="","-",+C23+1)</f>
        <v>2013</v>
      </c>
      <c r="D24" s="477">
        <v>339353.67447748332</v>
      </c>
      <c r="E24" s="478">
        <v>7456.5769230769229</v>
      </c>
      <c r="F24" s="477">
        <v>331897.09755440638</v>
      </c>
      <c r="G24" s="478">
        <v>54853.72619811543</v>
      </c>
      <c r="H24" s="479">
        <v>54853.72619811543</v>
      </c>
      <c r="I24" s="473">
        <v>0</v>
      </c>
      <c r="J24" s="473"/>
      <c r="K24" s="474">
        <f t="shared" si="4"/>
        <v>54853.72619811543</v>
      </c>
      <c r="L24" s="548">
        <f t="shared" ref="L24:L29" si="7">IF(K24&lt;&gt;0,+G24-K24,0)</f>
        <v>0</v>
      </c>
      <c r="M24" s="474">
        <f t="shared" si="5"/>
        <v>54853.72619811543</v>
      </c>
      <c r="N24" s="476">
        <f t="shared" ref="N24:N29" si="8">IF(M24&lt;&gt;0,+H24-M24,0)</f>
        <v>0</v>
      </c>
      <c r="O24" s="476">
        <f t="shared" ref="O24:O29" si="9">+N24-L24</f>
        <v>0</v>
      </c>
      <c r="P24" s="241"/>
    </row>
    <row r="25" spans="2:16">
      <c r="B25" s="160" t="str">
        <f t="shared" si="6"/>
        <v/>
      </c>
      <c r="C25" s="470">
        <f>IF(D11="","-",+C24+1)</f>
        <v>2014</v>
      </c>
      <c r="D25" s="477">
        <v>331897.09755440638</v>
      </c>
      <c r="E25" s="478">
        <v>7456.5769230769229</v>
      </c>
      <c r="F25" s="477">
        <v>324440.52063132945</v>
      </c>
      <c r="G25" s="478">
        <v>52118.659182147123</v>
      </c>
      <c r="H25" s="479">
        <v>52118.659182147123</v>
      </c>
      <c r="I25" s="473">
        <v>0</v>
      </c>
      <c r="J25" s="473"/>
      <c r="K25" s="474">
        <f t="shared" si="4"/>
        <v>52118.659182147123</v>
      </c>
      <c r="L25" s="548">
        <f t="shared" si="7"/>
        <v>0</v>
      </c>
      <c r="M25" s="474">
        <f t="shared" si="5"/>
        <v>52118.659182147123</v>
      </c>
      <c r="N25" s="476">
        <f t="shared" si="8"/>
        <v>0</v>
      </c>
      <c r="O25" s="476">
        <f t="shared" si="9"/>
        <v>0</v>
      </c>
      <c r="P25" s="241"/>
    </row>
    <row r="26" spans="2:16">
      <c r="B26" s="160" t="str">
        <f t="shared" si="6"/>
        <v/>
      </c>
      <c r="C26" s="470">
        <f>IF(D11="","-",+C25+1)</f>
        <v>2015</v>
      </c>
      <c r="D26" s="477">
        <v>324440.52063132945</v>
      </c>
      <c r="E26" s="478">
        <v>7456.5769230769229</v>
      </c>
      <c r="F26" s="477">
        <v>316983.94370825251</v>
      </c>
      <c r="G26" s="478">
        <v>51159.678410482353</v>
      </c>
      <c r="H26" s="479">
        <v>51159.678410482353</v>
      </c>
      <c r="I26" s="473">
        <v>0</v>
      </c>
      <c r="J26" s="473"/>
      <c r="K26" s="474">
        <f t="shared" si="4"/>
        <v>51159.678410482353</v>
      </c>
      <c r="L26" s="548">
        <f t="shared" si="7"/>
        <v>0</v>
      </c>
      <c r="M26" s="474">
        <f t="shared" si="5"/>
        <v>51159.678410482353</v>
      </c>
      <c r="N26" s="476">
        <f t="shared" si="8"/>
        <v>0</v>
      </c>
      <c r="O26" s="476">
        <f t="shared" si="9"/>
        <v>0</v>
      </c>
      <c r="P26" s="241"/>
    </row>
    <row r="27" spans="2:16">
      <c r="B27" s="160" t="str">
        <f t="shared" si="6"/>
        <v/>
      </c>
      <c r="C27" s="470">
        <f>IF(D11="","-",+C26+1)</f>
        <v>2016</v>
      </c>
      <c r="D27" s="477">
        <v>316983.94370825251</v>
      </c>
      <c r="E27" s="478">
        <v>7456.5769230769229</v>
      </c>
      <c r="F27" s="477">
        <v>309527.36678517557</v>
      </c>
      <c r="G27" s="478">
        <v>48054.073071867475</v>
      </c>
      <c r="H27" s="479">
        <v>48054.073071867475</v>
      </c>
      <c r="I27" s="473">
        <f t="shared" si="0"/>
        <v>0</v>
      </c>
      <c r="J27" s="473"/>
      <c r="K27" s="474">
        <f t="shared" ref="K27:K32" si="10">G27</f>
        <v>48054.073071867475</v>
      </c>
      <c r="L27" s="548">
        <f t="shared" si="7"/>
        <v>0</v>
      </c>
      <c r="M27" s="474">
        <f t="shared" ref="M27:M32" si="11">H27</f>
        <v>48054.073071867475</v>
      </c>
      <c r="N27" s="476">
        <f t="shared" si="8"/>
        <v>0</v>
      </c>
      <c r="O27" s="476">
        <f t="shared" si="9"/>
        <v>0</v>
      </c>
      <c r="P27" s="241"/>
    </row>
    <row r="28" spans="2:16">
      <c r="B28" s="160" t="str">
        <f t="shared" si="6"/>
        <v/>
      </c>
      <c r="C28" s="470">
        <f>IF(D11="","-",+C27+1)</f>
        <v>2017</v>
      </c>
      <c r="D28" s="477">
        <v>309527.36678517557</v>
      </c>
      <c r="E28" s="478">
        <v>8429.173913043478</v>
      </c>
      <c r="F28" s="477">
        <v>301098.19287213212</v>
      </c>
      <c r="G28" s="478">
        <v>46747.12706959022</v>
      </c>
      <c r="H28" s="479">
        <v>46747.12706959022</v>
      </c>
      <c r="I28" s="473">
        <f t="shared" si="0"/>
        <v>0</v>
      </c>
      <c r="J28" s="473"/>
      <c r="K28" s="474">
        <f t="shared" si="10"/>
        <v>46747.12706959022</v>
      </c>
      <c r="L28" s="548">
        <f t="shared" si="7"/>
        <v>0</v>
      </c>
      <c r="M28" s="474">
        <f t="shared" si="11"/>
        <v>46747.12706959022</v>
      </c>
      <c r="N28" s="476">
        <f t="shared" si="8"/>
        <v>0</v>
      </c>
      <c r="O28" s="476">
        <f t="shared" si="9"/>
        <v>0</v>
      </c>
      <c r="P28" s="241"/>
    </row>
    <row r="29" spans="2:16">
      <c r="B29" s="160" t="str">
        <f t="shared" si="6"/>
        <v/>
      </c>
      <c r="C29" s="470">
        <f>IF(D11="","-",+C28+1)</f>
        <v>2018</v>
      </c>
      <c r="D29" s="477">
        <v>301098.19287213212</v>
      </c>
      <c r="E29" s="478">
        <v>8616.4888888888891</v>
      </c>
      <c r="F29" s="477">
        <v>292481.70398324321</v>
      </c>
      <c r="G29" s="478">
        <v>44159.738725302646</v>
      </c>
      <c r="H29" s="479">
        <v>44159.738725302646</v>
      </c>
      <c r="I29" s="473">
        <f t="shared" si="0"/>
        <v>0</v>
      </c>
      <c r="J29" s="473"/>
      <c r="K29" s="474">
        <f t="shared" si="10"/>
        <v>44159.738725302646</v>
      </c>
      <c r="L29" s="548">
        <f t="shared" si="7"/>
        <v>0</v>
      </c>
      <c r="M29" s="474">
        <f t="shared" si="11"/>
        <v>44159.738725302646</v>
      </c>
      <c r="N29" s="476">
        <f t="shared" si="8"/>
        <v>0</v>
      </c>
      <c r="O29" s="476">
        <f t="shared" si="9"/>
        <v>0</v>
      </c>
      <c r="P29" s="241"/>
    </row>
    <row r="30" spans="2:16">
      <c r="B30" s="160" t="str">
        <f t="shared" si="6"/>
        <v/>
      </c>
      <c r="C30" s="470">
        <f>IF(D11="","-",+C29+1)</f>
        <v>2019</v>
      </c>
      <c r="D30" s="477">
        <v>292481.70398324321</v>
      </c>
      <c r="E30" s="478">
        <v>9693.5499999999993</v>
      </c>
      <c r="F30" s="477">
        <v>282788.15398324322</v>
      </c>
      <c r="G30" s="478">
        <v>41809.897213779383</v>
      </c>
      <c r="H30" s="479">
        <v>41809.897213779383</v>
      </c>
      <c r="I30" s="473">
        <f t="shared" si="0"/>
        <v>0</v>
      </c>
      <c r="J30" s="473"/>
      <c r="K30" s="474">
        <f t="shared" si="10"/>
        <v>41809.897213779383</v>
      </c>
      <c r="L30" s="548">
        <f t="shared" ref="L30" si="12">IF(K30&lt;&gt;0,+G30-K30,0)</f>
        <v>0</v>
      </c>
      <c r="M30" s="474">
        <f t="shared" si="11"/>
        <v>41809.897213779383</v>
      </c>
      <c r="N30" s="476">
        <f t="shared" ref="N30" si="13">IF(M30&lt;&gt;0,+H30-M30,0)</f>
        <v>0</v>
      </c>
      <c r="O30" s="476">
        <f t="shared" ref="O30" si="14">+N30-L30</f>
        <v>0</v>
      </c>
      <c r="P30" s="241"/>
    </row>
    <row r="31" spans="2:16">
      <c r="B31" s="160" t="str">
        <f t="shared" si="6"/>
        <v>IU</v>
      </c>
      <c r="C31" s="470">
        <f>IF(D11="","-",+C30+1)</f>
        <v>2020</v>
      </c>
      <c r="D31" s="477">
        <v>283865.21509435429</v>
      </c>
      <c r="E31" s="478">
        <v>9231.9523809523816</v>
      </c>
      <c r="F31" s="477">
        <v>274633.26271340193</v>
      </c>
      <c r="G31" s="478">
        <v>39392.204131039958</v>
      </c>
      <c r="H31" s="479">
        <v>39392.204131039958</v>
      </c>
      <c r="I31" s="473">
        <f t="shared" si="0"/>
        <v>0</v>
      </c>
      <c r="J31" s="473"/>
      <c r="K31" s="474">
        <f t="shared" si="10"/>
        <v>39392.204131039958</v>
      </c>
      <c r="L31" s="548">
        <f t="shared" ref="L31" si="15">IF(K31&lt;&gt;0,+G31-K31,0)</f>
        <v>0</v>
      </c>
      <c r="M31" s="474">
        <f t="shared" si="11"/>
        <v>39392.204131039958</v>
      </c>
      <c r="N31" s="476">
        <f t="shared" si="2"/>
        <v>0</v>
      </c>
      <c r="O31" s="476">
        <f t="shared" si="3"/>
        <v>0</v>
      </c>
      <c r="P31" s="241"/>
    </row>
    <row r="32" spans="2:16">
      <c r="B32" s="160" t="str">
        <f t="shared" si="6"/>
        <v>IU</v>
      </c>
      <c r="C32" s="470">
        <f>IF(D11="","-",+C31+1)</f>
        <v>2021</v>
      </c>
      <c r="D32" s="477">
        <v>273556.20160229085</v>
      </c>
      <c r="E32" s="478">
        <v>9017.2558139534885</v>
      </c>
      <c r="F32" s="477">
        <v>264538.94578833738</v>
      </c>
      <c r="G32" s="478">
        <v>37540.281940264002</v>
      </c>
      <c r="H32" s="479">
        <v>37540.281940264002</v>
      </c>
      <c r="I32" s="473">
        <f t="shared" si="0"/>
        <v>0</v>
      </c>
      <c r="J32" s="473"/>
      <c r="K32" s="474">
        <f t="shared" si="10"/>
        <v>37540.281940264002</v>
      </c>
      <c r="L32" s="548">
        <f t="shared" ref="L32" si="16">IF(K32&lt;&gt;0,+G32-K32,0)</f>
        <v>0</v>
      </c>
      <c r="M32" s="474">
        <f t="shared" si="11"/>
        <v>37540.281940264002</v>
      </c>
      <c r="N32" s="476">
        <f t="shared" si="2"/>
        <v>0</v>
      </c>
      <c r="O32" s="476">
        <f t="shared" si="3"/>
        <v>0</v>
      </c>
      <c r="P32" s="241"/>
    </row>
    <row r="33" spans="2:16">
      <c r="B33" s="160" t="str">
        <f t="shared" si="6"/>
        <v/>
      </c>
      <c r="C33" s="470">
        <f>IF(D11="","-",+C32+1)</f>
        <v>2022</v>
      </c>
      <c r="D33" s="477">
        <v>264538.94578833738</v>
      </c>
      <c r="E33" s="478">
        <v>9231.9523809523816</v>
      </c>
      <c r="F33" s="477">
        <v>255306.99340738502</v>
      </c>
      <c r="G33" s="478">
        <v>36756.917403506392</v>
      </c>
      <c r="H33" s="479">
        <v>36756.917403506392</v>
      </c>
      <c r="I33" s="473">
        <f t="shared" si="0"/>
        <v>0</v>
      </c>
      <c r="J33" s="473"/>
      <c r="K33" s="474">
        <f t="shared" ref="K33" si="17">G33</f>
        <v>36756.917403506392</v>
      </c>
      <c r="L33" s="548">
        <f t="shared" ref="L33" si="18">IF(K33&lt;&gt;0,+G33-K33,0)</f>
        <v>0</v>
      </c>
      <c r="M33" s="474">
        <f t="shared" ref="M33" si="19">H33</f>
        <v>36756.917403506392</v>
      </c>
      <c r="N33" s="476">
        <f t="shared" si="2"/>
        <v>0</v>
      </c>
      <c r="O33" s="476">
        <f t="shared" si="3"/>
        <v>0</v>
      </c>
      <c r="P33" s="241"/>
    </row>
    <row r="34" spans="2:16">
      <c r="B34" s="160" t="str">
        <f t="shared" si="6"/>
        <v/>
      </c>
      <c r="C34" s="470">
        <f>IF(D11="","-",+C33+1)</f>
        <v>2023</v>
      </c>
      <c r="D34" s="477">
        <v>255306.99340738502</v>
      </c>
      <c r="E34" s="478">
        <v>9942.1025641025644</v>
      </c>
      <c r="F34" s="477">
        <v>245364.89084328245</v>
      </c>
      <c r="G34" s="478">
        <v>39228.598463176066</v>
      </c>
      <c r="H34" s="479">
        <v>39228.598463176066</v>
      </c>
      <c r="I34" s="473">
        <f t="shared" si="0"/>
        <v>0</v>
      </c>
      <c r="J34" s="473"/>
      <c r="K34" s="474">
        <f t="shared" ref="K34" si="20">G34</f>
        <v>39228.598463176066</v>
      </c>
      <c r="L34" s="548">
        <f t="shared" ref="L34" si="21">IF(K34&lt;&gt;0,+G34-K34,0)</f>
        <v>0</v>
      </c>
      <c r="M34" s="474">
        <f t="shared" ref="M34" si="22">H34</f>
        <v>39228.598463176066</v>
      </c>
      <c r="N34" s="476">
        <f t="shared" ref="N34" si="23">IF(M34&lt;&gt;0,+H34-M34,0)</f>
        <v>0</v>
      </c>
      <c r="O34" s="476">
        <f t="shared" ref="O34" si="24">+N34-L34</f>
        <v>0</v>
      </c>
      <c r="P34" s="241"/>
    </row>
    <row r="35" spans="2:16">
      <c r="B35" s="160" t="str">
        <f t="shared" si="6"/>
        <v/>
      </c>
      <c r="C35" s="631">
        <f>IF(D11="","-",+C34+1)</f>
        <v>2024</v>
      </c>
      <c r="D35" s="483">
        <f>IF(F34+SUM(E$17:E34)=D$10,F34,D$10-SUM(E$17:E34))</f>
        <v>245364.89084328245</v>
      </c>
      <c r="E35" s="482">
        <f>IF(+I14&lt;F34,I14,D35)</f>
        <v>10203.736842105263</v>
      </c>
      <c r="F35" s="483">
        <f t="shared" ref="F35:F72" si="25">+D35-E35</f>
        <v>235161.1540011772</v>
      </c>
      <c r="G35" s="484">
        <f t="shared" ref="G35:G72" si="26">+I$12*F35+E35</f>
        <v>36951.010609631776</v>
      </c>
      <c r="H35" s="453">
        <f t="shared" ref="H35:H72" si="27">+I$13*F35+E35</f>
        <v>36951.010609631776</v>
      </c>
      <c r="I35" s="473">
        <f t="shared" si="0"/>
        <v>0</v>
      </c>
      <c r="J35" s="473"/>
      <c r="K35" s="485"/>
      <c r="L35" s="476">
        <f t="shared" si="1"/>
        <v>0</v>
      </c>
      <c r="M35" s="485"/>
      <c r="N35" s="476">
        <f t="shared" si="2"/>
        <v>0</v>
      </c>
      <c r="O35" s="476">
        <f t="shared" si="3"/>
        <v>0</v>
      </c>
      <c r="P35" s="241"/>
    </row>
    <row r="36" spans="2:16">
      <c r="B36" s="160" t="str">
        <f t="shared" si="6"/>
        <v/>
      </c>
      <c r="C36" s="470">
        <f>IF(D11="","-",+C35+1)</f>
        <v>2025</v>
      </c>
      <c r="D36" s="483">
        <f>IF(F35+SUM(E$17:E35)=D$10,F35,D$10-SUM(E$17:E35))</f>
        <v>235161.1540011772</v>
      </c>
      <c r="E36" s="482">
        <f>IF(+I14&lt;F35,I14,D36)</f>
        <v>10203.736842105263</v>
      </c>
      <c r="F36" s="483">
        <f t="shared" si="25"/>
        <v>224957.41715907195</v>
      </c>
      <c r="G36" s="484">
        <f t="shared" si="26"/>
        <v>35790.435667197962</v>
      </c>
      <c r="H36" s="453">
        <f t="shared" si="27"/>
        <v>35790.435667197962</v>
      </c>
      <c r="I36" s="473">
        <f t="shared" si="0"/>
        <v>0</v>
      </c>
      <c r="J36" s="473"/>
      <c r="K36" s="485"/>
      <c r="L36" s="476">
        <f t="shared" si="1"/>
        <v>0</v>
      </c>
      <c r="M36" s="485"/>
      <c r="N36" s="476">
        <f t="shared" si="2"/>
        <v>0</v>
      </c>
      <c r="O36" s="476">
        <f t="shared" si="3"/>
        <v>0</v>
      </c>
      <c r="P36" s="241"/>
    </row>
    <row r="37" spans="2:16">
      <c r="B37" s="160" t="str">
        <f t="shared" si="6"/>
        <v/>
      </c>
      <c r="C37" s="470">
        <f>IF(D11="","-",+C36+1)</f>
        <v>2026</v>
      </c>
      <c r="D37" s="483">
        <f>IF(F36+SUM(E$17:E36)=D$10,F36,D$10-SUM(E$17:E36))</f>
        <v>224957.41715907195</v>
      </c>
      <c r="E37" s="482">
        <f>IF(+I14&lt;F36,I14,D37)</f>
        <v>10203.736842105263</v>
      </c>
      <c r="F37" s="483">
        <f t="shared" si="25"/>
        <v>214753.6803169667</v>
      </c>
      <c r="G37" s="484">
        <f t="shared" si="26"/>
        <v>34629.860724764148</v>
      </c>
      <c r="H37" s="453">
        <f t="shared" si="27"/>
        <v>34629.860724764148</v>
      </c>
      <c r="I37" s="473">
        <f t="shared" si="0"/>
        <v>0</v>
      </c>
      <c r="J37" s="473"/>
      <c r="K37" s="485"/>
      <c r="L37" s="476">
        <f t="shared" si="1"/>
        <v>0</v>
      </c>
      <c r="M37" s="485"/>
      <c r="N37" s="476">
        <f t="shared" si="2"/>
        <v>0</v>
      </c>
      <c r="O37" s="476">
        <f t="shared" si="3"/>
        <v>0</v>
      </c>
      <c r="P37" s="241"/>
    </row>
    <row r="38" spans="2:16">
      <c r="B38" s="160" t="str">
        <f t="shared" si="6"/>
        <v/>
      </c>
      <c r="C38" s="470">
        <f>IF(D11="","-",+C37+1)</f>
        <v>2027</v>
      </c>
      <c r="D38" s="483">
        <f>IF(F37+SUM(E$17:E37)=D$10,F37,D$10-SUM(E$17:E37))</f>
        <v>214753.6803169667</v>
      </c>
      <c r="E38" s="482">
        <f>IF(+I14&lt;F37,I14,D38)</f>
        <v>10203.736842105263</v>
      </c>
      <c r="F38" s="483">
        <f t="shared" si="25"/>
        <v>204549.94347486144</v>
      </c>
      <c r="G38" s="484">
        <f t="shared" si="26"/>
        <v>33469.285782330335</v>
      </c>
      <c r="H38" s="453">
        <f t="shared" si="27"/>
        <v>33469.285782330335</v>
      </c>
      <c r="I38" s="473">
        <f t="shared" si="0"/>
        <v>0</v>
      </c>
      <c r="J38" s="473"/>
      <c r="K38" s="485"/>
      <c r="L38" s="476">
        <f t="shared" si="1"/>
        <v>0</v>
      </c>
      <c r="M38" s="485"/>
      <c r="N38" s="476">
        <f t="shared" si="2"/>
        <v>0</v>
      </c>
      <c r="O38" s="476">
        <f t="shared" si="3"/>
        <v>0</v>
      </c>
      <c r="P38" s="241"/>
    </row>
    <row r="39" spans="2:16">
      <c r="B39" s="160" t="str">
        <f t="shared" si="6"/>
        <v/>
      </c>
      <c r="C39" s="470">
        <f>IF(D11="","-",+C38+1)</f>
        <v>2028</v>
      </c>
      <c r="D39" s="483">
        <f>IF(F38+SUM(E$17:E38)=D$10,F38,D$10-SUM(E$17:E38))</f>
        <v>204549.94347486144</v>
      </c>
      <c r="E39" s="482">
        <f>IF(+I14&lt;F38,I14,D39)</f>
        <v>10203.736842105263</v>
      </c>
      <c r="F39" s="483">
        <f t="shared" si="25"/>
        <v>194346.20663275619</v>
      </c>
      <c r="G39" s="484">
        <f t="shared" si="26"/>
        <v>32308.710839896517</v>
      </c>
      <c r="H39" s="453">
        <f t="shared" si="27"/>
        <v>32308.710839896517</v>
      </c>
      <c r="I39" s="473">
        <f t="shared" si="0"/>
        <v>0</v>
      </c>
      <c r="J39" s="473"/>
      <c r="K39" s="485"/>
      <c r="L39" s="476">
        <f t="shared" si="1"/>
        <v>0</v>
      </c>
      <c r="M39" s="485"/>
      <c r="N39" s="476">
        <f t="shared" si="2"/>
        <v>0</v>
      </c>
      <c r="O39" s="476">
        <f t="shared" si="3"/>
        <v>0</v>
      </c>
      <c r="P39" s="241"/>
    </row>
    <row r="40" spans="2:16">
      <c r="B40" s="160" t="str">
        <f t="shared" si="6"/>
        <v/>
      </c>
      <c r="C40" s="470">
        <f>IF(D11="","-",+C39+1)</f>
        <v>2029</v>
      </c>
      <c r="D40" s="483">
        <f>IF(F39+SUM(E$17:E39)=D$10,F39,D$10-SUM(E$17:E39))</f>
        <v>194346.20663275619</v>
      </c>
      <c r="E40" s="482">
        <f>IF(+I14&lt;F39,I14,D40)</f>
        <v>10203.736842105263</v>
      </c>
      <c r="F40" s="483">
        <f t="shared" si="25"/>
        <v>184142.46979065094</v>
      </c>
      <c r="G40" s="484">
        <f t="shared" si="26"/>
        <v>31148.135897462704</v>
      </c>
      <c r="H40" s="453">
        <f t="shared" si="27"/>
        <v>31148.135897462704</v>
      </c>
      <c r="I40" s="473">
        <f t="shared" si="0"/>
        <v>0</v>
      </c>
      <c r="J40" s="473"/>
      <c r="K40" s="485"/>
      <c r="L40" s="476">
        <f t="shared" si="1"/>
        <v>0</v>
      </c>
      <c r="M40" s="485"/>
      <c r="N40" s="476">
        <f t="shared" si="2"/>
        <v>0</v>
      </c>
      <c r="O40" s="476">
        <f t="shared" si="3"/>
        <v>0</v>
      </c>
      <c r="P40" s="241"/>
    </row>
    <row r="41" spans="2:16">
      <c r="B41" s="160" t="str">
        <f t="shared" si="6"/>
        <v/>
      </c>
      <c r="C41" s="470">
        <f>IF(D11="","-",+C40+1)</f>
        <v>2030</v>
      </c>
      <c r="D41" s="483">
        <f>IF(F40+SUM(E$17:E40)=D$10,F40,D$10-SUM(E$17:E40))</f>
        <v>184142.46979065094</v>
      </c>
      <c r="E41" s="482">
        <f>IF(+I14&lt;F40,I14,D41)</f>
        <v>10203.736842105263</v>
      </c>
      <c r="F41" s="483">
        <f t="shared" si="25"/>
        <v>173938.73294854569</v>
      </c>
      <c r="G41" s="484">
        <f t="shared" si="26"/>
        <v>29987.56095502889</v>
      </c>
      <c r="H41" s="453">
        <f t="shared" si="27"/>
        <v>29987.56095502889</v>
      </c>
      <c r="I41" s="473">
        <f t="shared" si="0"/>
        <v>0</v>
      </c>
      <c r="J41" s="473"/>
      <c r="K41" s="485"/>
      <c r="L41" s="476">
        <f t="shared" si="1"/>
        <v>0</v>
      </c>
      <c r="M41" s="485"/>
      <c r="N41" s="476">
        <f t="shared" si="2"/>
        <v>0</v>
      </c>
      <c r="O41" s="476">
        <f t="shared" si="3"/>
        <v>0</v>
      </c>
      <c r="P41" s="241"/>
    </row>
    <row r="42" spans="2:16">
      <c r="B42" s="160" t="str">
        <f t="shared" si="6"/>
        <v/>
      </c>
      <c r="C42" s="470">
        <f>IF(D11="","-",+C41+1)</f>
        <v>2031</v>
      </c>
      <c r="D42" s="483">
        <f>IF(F41+SUM(E$17:E41)=D$10,F41,D$10-SUM(E$17:E41))</f>
        <v>173938.73294854569</v>
      </c>
      <c r="E42" s="482">
        <f>IF(+I14&lt;F41,I14,D42)</f>
        <v>10203.736842105263</v>
      </c>
      <c r="F42" s="483">
        <f t="shared" si="25"/>
        <v>163734.99610644043</v>
      </c>
      <c r="G42" s="484">
        <f t="shared" si="26"/>
        <v>28826.986012595073</v>
      </c>
      <c r="H42" s="453">
        <f t="shared" si="27"/>
        <v>28826.986012595073</v>
      </c>
      <c r="I42" s="473">
        <f t="shared" si="0"/>
        <v>0</v>
      </c>
      <c r="J42" s="473"/>
      <c r="K42" s="485"/>
      <c r="L42" s="476">
        <f t="shared" si="1"/>
        <v>0</v>
      </c>
      <c r="M42" s="485"/>
      <c r="N42" s="476">
        <f t="shared" si="2"/>
        <v>0</v>
      </c>
      <c r="O42" s="476">
        <f t="shared" si="3"/>
        <v>0</v>
      </c>
      <c r="P42" s="241"/>
    </row>
    <row r="43" spans="2:16">
      <c r="B43" s="160" t="str">
        <f t="shared" si="6"/>
        <v/>
      </c>
      <c r="C43" s="470">
        <f>IF(D11="","-",+C42+1)</f>
        <v>2032</v>
      </c>
      <c r="D43" s="483">
        <f>IF(F42+SUM(E$17:E42)=D$10,F42,D$10-SUM(E$17:E42))</f>
        <v>163734.99610644043</v>
      </c>
      <c r="E43" s="482">
        <f>IF(+I14&lt;F42,I14,D43)</f>
        <v>10203.736842105263</v>
      </c>
      <c r="F43" s="483">
        <f t="shared" si="25"/>
        <v>153531.25926433518</v>
      </c>
      <c r="G43" s="484">
        <f t="shared" si="26"/>
        <v>27666.411070161259</v>
      </c>
      <c r="H43" s="453">
        <f t="shared" si="27"/>
        <v>27666.411070161259</v>
      </c>
      <c r="I43" s="473">
        <f t="shared" si="0"/>
        <v>0</v>
      </c>
      <c r="J43" s="473"/>
      <c r="K43" s="485"/>
      <c r="L43" s="476">
        <f t="shared" si="1"/>
        <v>0</v>
      </c>
      <c r="M43" s="485"/>
      <c r="N43" s="476">
        <f t="shared" si="2"/>
        <v>0</v>
      </c>
      <c r="O43" s="476">
        <f t="shared" si="3"/>
        <v>0</v>
      </c>
      <c r="P43" s="241"/>
    </row>
    <row r="44" spans="2:16">
      <c r="B44" s="160" t="str">
        <f t="shared" si="6"/>
        <v/>
      </c>
      <c r="C44" s="470">
        <f>IF(D11="","-",+C43+1)</f>
        <v>2033</v>
      </c>
      <c r="D44" s="483">
        <f>IF(F43+SUM(E$17:E43)=D$10,F43,D$10-SUM(E$17:E43))</f>
        <v>153531.25926433518</v>
      </c>
      <c r="E44" s="482">
        <f>IF(+I14&lt;F43,I14,D44)</f>
        <v>10203.736842105263</v>
      </c>
      <c r="F44" s="483">
        <f t="shared" si="25"/>
        <v>143327.52242222993</v>
      </c>
      <c r="G44" s="484">
        <f t="shared" si="26"/>
        <v>26505.836127727445</v>
      </c>
      <c r="H44" s="453">
        <f t="shared" si="27"/>
        <v>26505.836127727445</v>
      </c>
      <c r="I44" s="473">
        <f t="shared" si="0"/>
        <v>0</v>
      </c>
      <c r="J44" s="473"/>
      <c r="K44" s="485"/>
      <c r="L44" s="476">
        <f t="shared" si="1"/>
        <v>0</v>
      </c>
      <c r="M44" s="485"/>
      <c r="N44" s="476">
        <f t="shared" si="2"/>
        <v>0</v>
      </c>
      <c r="O44" s="476">
        <f t="shared" si="3"/>
        <v>0</v>
      </c>
      <c r="P44" s="241"/>
    </row>
    <row r="45" spans="2:16">
      <c r="B45" s="160" t="str">
        <f t="shared" si="6"/>
        <v/>
      </c>
      <c r="C45" s="470">
        <f>IF(D11="","-",+C44+1)</f>
        <v>2034</v>
      </c>
      <c r="D45" s="483">
        <f>IF(F44+SUM(E$17:E44)=D$10,F44,D$10-SUM(E$17:E44))</f>
        <v>143327.52242222993</v>
      </c>
      <c r="E45" s="482">
        <f>IF(+I14&lt;F44,I14,D45)</f>
        <v>10203.736842105263</v>
      </c>
      <c r="F45" s="483">
        <f t="shared" si="25"/>
        <v>133123.78558012468</v>
      </c>
      <c r="G45" s="484">
        <f t="shared" si="26"/>
        <v>25345.261185293632</v>
      </c>
      <c r="H45" s="453">
        <f t="shared" si="27"/>
        <v>25345.261185293632</v>
      </c>
      <c r="I45" s="473">
        <f t="shared" si="0"/>
        <v>0</v>
      </c>
      <c r="J45" s="473"/>
      <c r="K45" s="485"/>
      <c r="L45" s="476">
        <f t="shared" si="1"/>
        <v>0</v>
      </c>
      <c r="M45" s="485"/>
      <c r="N45" s="476">
        <f t="shared" si="2"/>
        <v>0</v>
      </c>
      <c r="O45" s="476">
        <f t="shared" si="3"/>
        <v>0</v>
      </c>
      <c r="P45" s="241"/>
    </row>
    <row r="46" spans="2:16">
      <c r="B46" s="160" t="str">
        <f t="shared" si="6"/>
        <v/>
      </c>
      <c r="C46" s="470">
        <f>IF(D11="","-",+C45+1)</f>
        <v>2035</v>
      </c>
      <c r="D46" s="483">
        <f>IF(F45+SUM(E$17:E45)=D$10,F45,D$10-SUM(E$17:E45))</f>
        <v>133123.78558012468</v>
      </c>
      <c r="E46" s="482">
        <f>IF(+I14&lt;F45,I14,D46)</f>
        <v>10203.736842105263</v>
      </c>
      <c r="F46" s="483">
        <f t="shared" si="25"/>
        <v>122920.04873801941</v>
      </c>
      <c r="G46" s="484">
        <f t="shared" si="26"/>
        <v>24184.686242859814</v>
      </c>
      <c r="H46" s="453">
        <f t="shared" si="27"/>
        <v>24184.686242859814</v>
      </c>
      <c r="I46" s="473">
        <f t="shared" si="0"/>
        <v>0</v>
      </c>
      <c r="J46" s="473"/>
      <c r="K46" s="485"/>
      <c r="L46" s="476">
        <f t="shared" si="1"/>
        <v>0</v>
      </c>
      <c r="M46" s="485"/>
      <c r="N46" s="476">
        <f t="shared" si="2"/>
        <v>0</v>
      </c>
      <c r="O46" s="476">
        <f t="shared" si="3"/>
        <v>0</v>
      </c>
      <c r="P46" s="241"/>
    </row>
    <row r="47" spans="2:16">
      <c r="B47" s="160" t="str">
        <f t="shared" si="6"/>
        <v/>
      </c>
      <c r="C47" s="470">
        <f>IF(D11="","-",+C46+1)</f>
        <v>2036</v>
      </c>
      <c r="D47" s="483">
        <f>IF(F46+SUM(E$17:E46)=D$10,F46,D$10-SUM(E$17:E46))</f>
        <v>122920.04873801941</v>
      </c>
      <c r="E47" s="482">
        <f>IF(+I14&lt;F46,I14,D47)</f>
        <v>10203.736842105263</v>
      </c>
      <c r="F47" s="483">
        <f t="shared" si="25"/>
        <v>112716.31189591414</v>
      </c>
      <c r="G47" s="484">
        <f t="shared" si="26"/>
        <v>23024.111300425997</v>
      </c>
      <c r="H47" s="453">
        <f t="shared" si="27"/>
        <v>23024.111300425997</v>
      </c>
      <c r="I47" s="473">
        <f t="shared" si="0"/>
        <v>0</v>
      </c>
      <c r="J47" s="473"/>
      <c r="K47" s="485"/>
      <c r="L47" s="476">
        <f t="shared" si="1"/>
        <v>0</v>
      </c>
      <c r="M47" s="485"/>
      <c r="N47" s="476">
        <f t="shared" si="2"/>
        <v>0</v>
      </c>
      <c r="O47" s="476">
        <f t="shared" si="3"/>
        <v>0</v>
      </c>
      <c r="P47" s="241"/>
    </row>
    <row r="48" spans="2:16">
      <c r="B48" s="160" t="str">
        <f t="shared" si="6"/>
        <v/>
      </c>
      <c r="C48" s="470">
        <f>IF(D11="","-",+C47+1)</f>
        <v>2037</v>
      </c>
      <c r="D48" s="483">
        <f>IF(F47+SUM(E$17:E47)=D$10,F47,D$10-SUM(E$17:E47))</f>
        <v>112716.31189591414</v>
      </c>
      <c r="E48" s="482">
        <f>IF(+I14&lt;F47,I14,D48)</f>
        <v>10203.736842105263</v>
      </c>
      <c r="F48" s="483">
        <f t="shared" si="25"/>
        <v>102512.57505380888</v>
      </c>
      <c r="G48" s="484">
        <f t="shared" si="26"/>
        <v>21863.536357992183</v>
      </c>
      <c r="H48" s="453">
        <f t="shared" si="27"/>
        <v>21863.536357992183</v>
      </c>
      <c r="I48" s="473">
        <f t="shared" si="0"/>
        <v>0</v>
      </c>
      <c r="J48" s="473"/>
      <c r="K48" s="485"/>
      <c r="L48" s="476">
        <f t="shared" si="1"/>
        <v>0</v>
      </c>
      <c r="M48" s="485"/>
      <c r="N48" s="476">
        <f t="shared" si="2"/>
        <v>0</v>
      </c>
      <c r="O48" s="476">
        <f t="shared" si="3"/>
        <v>0</v>
      </c>
      <c r="P48" s="241"/>
    </row>
    <row r="49" spans="2:16">
      <c r="B49" s="160" t="str">
        <f t="shared" si="6"/>
        <v/>
      </c>
      <c r="C49" s="470">
        <f>IF(D11="","-",+C48+1)</f>
        <v>2038</v>
      </c>
      <c r="D49" s="483">
        <f>IF(F48+SUM(E$17:E48)=D$10,F48,D$10-SUM(E$17:E48))</f>
        <v>102512.57505380888</v>
      </c>
      <c r="E49" s="482">
        <f>IF(+I14&lt;F48,I14,D49)</f>
        <v>10203.736842105263</v>
      </c>
      <c r="F49" s="483">
        <f t="shared" si="25"/>
        <v>92308.838211703609</v>
      </c>
      <c r="G49" s="484">
        <f t="shared" si="26"/>
        <v>20702.961415558366</v>
      </c>
      <c r="H49" s="453">
        <f t="shared" si="27"/>
        <v>20702.961415558366</v>
      </c>
      <c r="I49" s="473">
        <f t="shared" ref="I49:I72" si="28">H49-G49</f>
        <v>0</v>
      </c>
      <c r="J49" s="473"/>
      <c r="K49" s="485"/>
      <c r="L49" s="476">
        <f t="shared" ref="L49:L72" si="29">IF(K49&lt;&gt;0,+G49-K49,0)</f>
        <v>0</v>
      </c>
      <c r="M49" s="485"/>
      <c r="N49" s="476">
        <f t="shared" ref="N49:N72" si="30">IF(M49&lt;&gt;0,+H49-M49,0)</f>
        <v>0</v>
      </c>
      <c r="O49" s="476">
        <f t="shared" ref="O49:O72" si="31">+N49-L49</f>
        <v>0</v>
      </c>
      <c r="P49" s="241"/>
    </row>
    <row r="50" spans="2:16">
      <c r="B50" s="160" t="str">
        <f t="shared" si="6"/>
        <v/>
      </c>
      <c r="C50" s="470">
        <f>IF(D11="","-",+C49+1)</f>
        <v>2039</v>
      </c>
      <c r="D50" s="483">
        <f>IF(F49+SUM(E$17:E49)=D$10,F49,D$10-SUM(E$17:E49))</f>
        <v>92308.838211703609</v>
      </c>
      <c r="E50" s="482">
        <f>IF(+I14&lt;F49,I14,D50)</f>
        <v>10203.736842105263</v>
      </c>
      <c r="F50" s="483">
        <f t="shared" si="25"/>
        <v>82105.101369598342</v>
      </c>
      <c r="G50" s="484">
        <f t="shared" si="26"/>
        <v>19542.386473124549</v>
      </c>
      <c r="H50" s="453">
        <f t="shared" si="27"/>
        <v>19542.386473124549</v>
      </c>
      <c r="I50" s="473">
        <f t="shared" si="28"/>
        <v>0</v>
      </c>
      <c r="J50" s="473"/>
      <c r="K50" s="485"/>
      <c r="L50" s="476">
        <f t="shared" si="29"/>
        <v>0</v>
      </c>
      <c r="M50" s="485"/>
      <c r="N50" s="476">
        <f t="shared" si="30"/>
        <v>0</v>
      </c>
      <c r="O50" s="476">
        <f t="shared" si="31"/>
        <v>0</v>
      </c>
      <c r="P50" s="241"/>
    </row>
    <row r="51" spans="2:16">
      <c r="B51" s="160" t="str">
        <f t="shared" si="6"/>
        <v/>
      </c>
      <c r="C51" s="470">
        <f>IF(D11="","-",+C50+1)</f>
        <v>2040</v>
      </c>
      <c r="D51" s="483">
        <f>IF(F50+SUM(E$17:E50)=D$10,F50,D$10-SUM(E$17:E50))</f>
        <v>82105.101369598342</v>
      </c>
      <c r="E51" s="482">
        <f>IF(+I14&lt;F50,I14,D51)</f>
        <v>10203.736842105263</v>
      </c>
      <c r="F51" s="483">
        <f t="shared" si="25"/>
        <v>71901.364527493075</v>
      </c>
      <c r="G51" s="484">
        <f t="shared" si="26"/>
        <v>18381.811530690735</v>
      </c>
      <c r="H51" s="453">
        <f t="shared" si="27"/>
        <v>18381.811530690735</v>
      </c>
      <c r="I51" s="473">
        <f t="shared" si="28"/>
        <v>0</v>
      </c>
      <c r="J51" s="473"/>
      <c r="K51" s="485"/>
      <c r="L51" s="476">
        <f t="shared" si="29"/>
        <v>0</v>
      </c>
      <c r="M51" s="485"/>
      <c r="N51" s="476">
        <f t="shared" si="30"/>
        <v>0</v>
      </c>
      <c r="O51" s="476">
        <f t="shared" si="31"/>
        <v>0</v>
      </c>
      <c r="P51" s="241"/>
    </row>
    <row r="52" spans="2:16">
      <c r="B52" s="160" t="str">
        <f t="shared" si="6"/>
        <v/>
      </c>
      <c r="C52" s="470">
        <f>IF(D11="","-",+C51+1)</f>
        <v>2041</v>
      </c>
      <c r="D52" s="483">
        <f>IF(F51+SUM(E$17:E51)=D$10,F51,D$10-SUM(E$17:E51))</f>
        <v>71901.364527493075</v>
      </c>
      <c r="E52" s="482">
        <f>IF(+I14&lt;F51,I14,D52)</f>
        <v>10203.736842105263</v>
      </c>
      <c r="F52" s="483">
        <f t="shared" si="25"/>
        <v>61697.627685387808</v>
      </c>
      <c r="G52" s="484">
        <f t="shared" si="26"/>
        <v>17221.236588256917</v>
      </c>
      <c r="H52" s="453">
        <f t="shared" si="27"/>
        <v>17221.236588256917</v>
      </c>
      <c r="I52" s="473">
        <f t="shared" si="28"/>
        <v>0</v>
      </c>
      <c r="J52" s="473"/>
      <c r="K52" s="485"/>
      <c r="L52" s="476">
        <f t="shared" si="29"/>
        <v>0</v>
      </c>
      <c r="M52" s="485"/>
      <c r="N52" s="476">
        <f t="shared" si="30"/>
        <v>0</v>
      </c>
      <c r="O52" s="476">
        <f t="shared" si="31"/>
        <v>0</v>
      </c>
      <c r="P52" s="241"/>
    </row>
    <row r="53" spans="2:16">
      <c r="B53" s="160" t="str">
        <f t="shared" si="6"/>
        <v/>
      </c>
      <c r="C53" s="470">
        <f>IF(D11="","-",+C52+1)</f>
        <v>2042</v>
      </c>
      <c r="D53" s="483">
        <f>IF(F52+SUM(E$17:E52)=D$10,F52,D$10-SUM(E$17:E52))</f>
        <v>61697.627685387808</v>
      </c>
      <c r="E53" s="482">
        <f>IF(+I14&lt;F52,I14,D53)</f>
        <v>10203.736842105263</v>
      </c>
      <c r="F53" s="483">
        <f t="shared" si="25"/>
        <v>51493.890843282541</v>
      </c>
      <c r="G53" s="484">
        <f t="shared" si="26"/>
        <v>16060.6616458231</v>
      </c>
      <c r="H53" s="453">
        <f t="shared" si="27"/>
        <v>16060.6616458231</v>
      </c>
      <c r="I53" s="473">
        <f t="shared" si="28"/>
        <v>0</v>
      </c>
      <c r="J53" s="473"/>
      <c r="K53" s="485"/>
      <c r="L53" s="476">
        <f t="shared" si="29"/>
        <v>0</v>
      </c>
      <c r="M53" s="485"/>
      <c r="N53" s="476">
        <f t="shared" si="30"/>
        <v>0</v>
      </c>
      <c r="O53" s="476">
        <f t="shared" si="31"/>
        <v>0</v>
      </c>
      <c r="P53" s="241"/>
    </row>
    <row r="54" spans="2:16">
      <c r="B54" s="160" t="str">
        <f t="shared" si="6"/>
        <v/>
      </c>
      <c r="C54" s="470">
        <f>IF(D11="","-",+C53+1)</f>
        <v>2043</v>
      </c>
      <c r="D54" s="483">
        <f>IF(F53+SUM(E$17:E53)=D$10,F53,D$10-SUM(E$17:E53))</f>
        <v>51493.890843282541</v>
      </c>
      <c r="E54" s="482">
        <f>IF(+I14&lt;F53,I14,D54)</f>
        <v>10203.736842105263</v>
      </c>
      <c r="F54" s="483">
        <f t="shared" si="25"/>
        <v>41290.154001177274</v>
      </c>
      <c r="G54" s="484">
        <f t="shared" si="26"/>
        <v>14900.086703389283</v>
      </c>
      <c r="H54" s="453">
        <f t="shared" si="27"/>
        <v>14900.086703389283</v>
      </c>
      <c r="I54" s="473">
        <f t="shared" si="28"/>
        <v>0</v>
      </c>
      <c r="J54" s="473"/>
      <c r="K54" s="485"/>
      <c r="L54" s="476">
        <f t="shared" si="29"/>
        <v>0</v>
      </c>
      <c r="M54" s="485"/>
      <c r="N54" s="476">
        <f t="shared" si="30"/>
        <v>0</v>
      </c>
      <c r="O54" s="476">
        <f t="shared" si="31"/>
        <v>0</v>
      </c>
      <c r="P54" s="241"/>
    </row>
    <row r="55" spans="2:16">
      <c r="B55" s="160" t="str">
        <f t="shared" si="6"/>
        <v/>
      </c>
      <c r="C55" s="470">
        <f>IF(D11="","-",+C54+1)</f>
        <v>2044</v>
      </c>
      <c r="D55" s="483">
        <f>IF(F54+SUM(E$17:E54)=D$10,F54,D$10-SUM(E$17:E54))</f>
        <v>41290.154001177274</v>
      </c>
      <c r="E55" s="482">
        <f>IF(+I14&lt;F54,I14,D55)</f>
        <v>10203.736842105263</v>
      </c>
      <c r="F55" s="483">
        <f t="shared" si="25"/>
        <v>31086.417159072011</v>
      </c>
      <c r="G55" s="484">
        <f t="shared" si="26"/>
        <v>13739.511760955469</v>
      </c>
      <c r="H55" s="453">
        <f t="shared" si="27"/>
        <v>13739.511760955469</v>
      </c>
      <c r="I55" s="473">
        <f t="shared" si="28"/>
        <v>0</v>
      </c>
      <c r="J55" s="473"/>
      <c r="K55" s="485"/>
      <c r="L55" s="476">
        <f t="shared" si="29"/>
        <v>0</v>
      </c>
      <c r="M55" s="485"/>
      <c r="N55" s="476">
        <f t="shared" si="30"/>
        <v>0</v>
      </c>
      <c r="O55" s="476">
        <f t="shared" si="31"/>
        <v>0</v>
      </c>
      <c r="P55" s="241"/>
    </row>
    <row r="56" spans="2:16">
      <c r="B56" s="160" t="str">
        <f t="shared" si="6"/>
        <v/>
      </c>
      <c r="C56" s="470">
        <f>IF(D11="","-",+C55+1)</f>
        <v>2045</v>
      </c>
      <c r="D56" s="483">
        <f>IF(F55+SUM(E$17:E55)=D$10,F55,D$10-SUM(E$17:E55))</f>
        <v>31086.417159072011</v>
      </c>
      <c r="E56" s="482">
        <f>IF(+I14&lt;F55,I14,D56)</f>
        <v>10203.736842105263</v>
      </c>
      <c r="F56" s="483">
        <f t="shared" si="25"/>
        <v>20882.680316966747</v>
      </c>
      <c r="G56" s="484">
        <f t="shared" si="26"/>
        <v>12578.936818521652</v>
      </c>
      <c r="H56" s="453">
        <f t="shared" si="27"/>
        <v>12578.936818521652</v>
      </c>
      <c r="I56" s="473">
        <f t="shared" si="28"/>
        <v>0</v>
      </c>
      <c r="J56" s="473"/>
      <c r="K56" s="485"/>
      <c r="L56" s="476">
        <f t="shared" si="29"/>
        <v>0</v>
      </c>
      <c r="M56" s="485"/>
      <c r="N56" s="476">
        <f t="shared" si="30"/>
        <v>0</v>
      </c>
      <c r="O56" s="476">
        <f t="shared" si="31"/>
        <v>0</v>
      </c>
      <c r="P56" s="241"/>
    </row>
    <row r="57" spans="2:16">
      <c r="B57" s="160" t="str">
        <f t="shared" si="6"/>
        <v/>
      </c>
      <c r="C57" s="470">
        <f>IF(D11="","-",+C56+1)</f>
        <v>2046</v>
      </c>
      <c r="D57" s="483">
        <f>IF(F56+SUM(E$17:E56)=D$10,F56,D$10-SUM(E$17:E56))</f>
        <v>20882.680316966747</v>
      </c>
      <c r="E57" s="482">
        <f>IF(+I14&lt;F56,I14,D57)</f>
        <v>10203.736842105263</v>
      </c>
      <c r="F57" s="483">
        <f t="shared" si="25"/>
        <v>10678.943474861484</v>
      </c>
      <c r="G57" s="484">
        <f t="shared" si="26"/>
        <v>11418.361876087836</v>
      </c>
      <c r="H57" s="453">
        <f t="shared" si="27"/>
        <v>11418.361876087836</v>
      </c>
      <c r="I57" s="473">
        <f t="shared" si="28"/>
        <v>0</v>
      </c>
      <c r="J57" s="473"/>
      <c r="K57" s="485"/>
      <c r="L57" s="476">
        <f t="shared" si="29"/>
        <v>0</v>
      </c>
      <c r="M57" s="485"/>
      <c r="N57" s="476">
        <f t="shared" si="30"/>
        <v>0</v>
      </c>
      <c r="O57" s="476">
        <f t="shared" si="31"/>
        <v>0</v>
      </c>
      <c r="P57" s="241"/>
    </row>
    <row r="58" spans="2:16">
      <c r="B58" s="160" t="str">
        <f t="shared" si="6"/>
        <v/>
      </c>
      <c r="C58" s="470">
        <f>IF(D11="","-",+C57+1)</f>
        <v>2047</v>
      </c>
      <c r="D58" s="483">
        <f>IF(F57+SUM(E$17:E57)=D$10,F57,D$10-SUM(E$17:E57))</f>
        <v>10678.943474861484</v>
      </c>
      <c r="E58" s="482">
        <f>IF(+I14&lt;F57,I14,D58)</f>
        <v>10203.736842105263</v>
      </c>
      <c r="F58" s="483">
        <f t="shared" si="25"/>
        <v>475.20663275622064</v>
      </c>
      <c r="G58" s="484">
        <f t="shared" si="26"/>
        <v>10257.786933654021</v>
      </c>
      <c r="H58" s="453">
        <f t="shared" si="27"/>
        <v>10257.786933654021</v>
      </c>
      <c r="I58" s="473">
        <f t="shared" si="28"/>
        <v>0</v>
      </c>
      <c r="J58" s="473"/>
      <c r="K58" s="485"/>
      <c r="L58" s="476">
        <f t="shared" si="29"/>
        <v>0</v>
      </c>
      <c r="M58" s="485"/>
      <c r="N58" s="476">
        <f t="shared" si="30"/>
        <v>0</v>
      </c>
      <c r="O58" s="476">
        <f t="shared" si="31"/>
        <v>0</v>
      </c>
      <c r="P58" s="241"/>
    </row>
    <row r="59" spans="2:16">
      <c r="B59" s="160" t="str">
        <f t="shared" si="6"/>
        <v/>
      </c>
      <c r="C59" s="470">
        <f>IF(D11="","-",+C58+1)</f>
        <v>2048</v>
      </c>
      <c r="D59" s="483">
        <f>IF(F58+SUM(E$17:E58)=D$10,F58,D$10-SUM(E$17:E58))</f>
        <v>475.20663275622064</v>
      </c>
      <c r="E59" s="482">
        <f>IF(+I14&lt;F58,I14,D59)</f>
        <v>475.20663275622064</v>
      </c>
      <c r="F59" s="483">
        <f t="shared" si="25"/>
        <v>0</v>
      </c>
      <c r="G59" s="484">
        <f t="shared" si="26"/>
        <v>475.20663275622064</v>
      </c>
      <c r="H59" s="453">
        <f t="shared" si="27"/>
        <v>475.20663275622064</v>
      </c>
      <c r="I59" s="473">
        <f t="shared" si="28"/>
        <v>0</v>
      </c>
      <c r="J59" s="473"/>
      <c r="K59" s="485"/>
      <c r="L59" s="476">
        <f t="shared" si="29"/>
        <v>0</v>
      </c>
      <c r="M59" s="485"/>
      <c r="N59" s="476">
        <f t="shared" si="30"/>
        <v>0</v>
      </c>
      <c r="O59" s="476">
        <f t="shared" si="31"/>
        <v>0</v>
      </c>
      <c r="P59" s="241"/>
    </row>
    <row r="60" spans="2:16">
      <c r="B60" s="160" t="str">
        <f t="shared" si="6"/>
        <v/>
      </c>
      <c r="C60" s="470">
        <f>IF(D11="","-",+C59+1)</f>
        <v>2049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5"/>
        <v>0</v>
      </c>
      <c r="G60" s="484">
        <f t="shared" si="26"/>
        <v>0</v>
      </c>
      <c r="H60" s="453">
        <f t="shared" si="27"/>
        <v>0</v>
      </c>
      <c r="I60" s="473">
        <f t="shared" si="28"/>
        <v>0</v>
      </c>
      <c r="J60" s="473"/>
      <c r="K60" s="485"/>
      <c r="L60" s="476">
        <f t="shared" si="29"/>
        <v>0</v>
      </c>
      <c r="M60" s="485"/>
      <c r="N60" s="476">
        <f t="shared" si="30"/>
        <v>0</v>
      </c>
      <c r="O60" s="476">
        <f t="shared" si="31"/>
        <v>0</v>
      </c>
      <c r="P60" s="241"/>
    </row>
    <row r="61" spans="2:16">
      <c r="B61" s="160" t="str">
        <f t="shared" si="6"/>
        <v/>
      </c>
      <c r="C61" s="470">
        <f>IF(D11="","-",+C60+1)</f>
        <v>2050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5"/>
        <v>0</v>
      </c>
      <c r="G61" s="486">
        <f t="shared" si="26"/>
        <v>0</v>
      </c>
      <c r="H61" s="453">
        <f t="shared" si="27"/>
        <v>0</v>
      </c>
      <c r="I61" s="473">
        <f t="shared" si="28"/>
        <v>0</v>
      </c>
      <c r="J61" s="473"/>
      <c r="K61" s="485"/>
      <c r="L61" s="476">
        <f t="shared" si="29"/>
        <v>0</v>
      </c>
      <c r="M61" s="485"/>
      <c r="N61" s="476">
        <f t="shared" si="30"/>
        <v>0</v>
      </c>
      <c r="O61" s="476">
        <f t="shared" si="31"/>
        <v>0</v>
      </c>
      <c r="P61" s="241"/>
    </row>
    <row r="62" spans="2:16">
      <c r="B62" s="160" t="str">
        <f t="shared" si="6"/>
        <v/>
      </c>
      <c r="C62" s="470">
        <f>IF(D11="","-",+C61+1)</f>
        <v>2051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5"/>
        <v>0</v>
      </c>
      <c r="G62" s="486">
        <f t="shared" si="26"/>
        <v>0</v>
      </c>
      <c r="H62" s="453">
        <f t="shared" si="27"/>
        <v>0</v>
      </c>
      <c r="I62" s="473">
        <f t="shared" si="28"/>
        <v>0</v>
      </c>
      <c r="J62" s="473"/>
      <c r="K62" s="485"/>
      <c r="L62" s="476">
        <f t="shared" si="29"/>
        <v>0</v>
      </c>
      <c r="M62" s="485"/>
      <c r="N62" s="476">
        <f t="shared" si="30"/>
        <v>0</v>
      </c>
      <c r="O62" s="476">
        <f t="shared" si="31"/>
        <v>0</v>
      </c>
      <c r="P62" s="241"/>
    </row>
    <row r="63" spans="2:16">
      <c r="B63" s="160" t="str">
        <f t="shared" si="6"/>
        <v/>
      </c>
      <c r="C63" s="470">
        <f>IF(D11="","-",+C62+1)</f>
        <v>2052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5"/>
        <v>0</v>
      </c>
      <c r="G63" s="486">
        <f t="shared" si="26"/>
        <v>0</v>
      </c>
      <c r="H63" s="453">
        <f t="shared" si="27"/>
        <v>0</v>
      </c>
      <c r="I63" s="473">
        <f t="shared" si="28"/>
        <v>0</v>
      </c>
      <c r="J63" s="473"/>
      <c r="K63" s="485"/>
      <c r="L63" s="476">
        <f t="shared" si="29"/>
        <v>0</v>
      </c>
      <c r="M63" s="485"/>
      <c r="N63" s="476">
        <f t="shared" si="30"/>
        <v>0</v>
      </c>
      <c r="O63" s="476">
        <f t="shared" si="31"/>
        <v>0</v>
      </c>
      <c r="P63" s="241"/>
    </row>
    <row r="64" spans="2:16">
      <c r="B64" s="160" t="str">
        <f t="shared" si="6"/>
        <v/>
      </c>
      <c r="C64" s="470">
        <f>IF(D11="","-",+C63+1)</f>
        <v>2053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5"/>
        <v>0</v>
      </c>
      <c r="G64" s="486">
        <f t="shared" si="26"/>
        <v>0</v>
      </c>
      <c r="H64" s="453">
        <f t="shared" si="27"/>
        <v>0</v>
      </c>
      <c r="I64" s="473">
        <f t="shared" si="28"/>
        <v>0</v>
      </c>
      <c r="J64" s="473"/>
      <c r="K64" s="485"/>
      <c r="L64" s="476">
        <f t="shared" si="29"/>
        <v>0</v>
      </c>
      <c r="M64" s="485"/>
      <c r="N64" s="476">
        <f t="shared" si="30"/>
        <v>0</v>
      </c>
      <c r="O64" s="476">
        <f t="shared" si="31"/>
        <v>0</v>
      </c>
      <c r="P64" s="241"/>
    </row>
    <row r="65" spans="2:16">
      <c r="B65" s="160" t="str">
        <f t="shared" si="6"/>
        <v/>
      </c>
      <c r="C65" s="470">
        <f>IF(D11="","-",+C64+1)</f>
        <v>2054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5"/>
        <v>0</v>
      </c>
      <c r="G65" s="486">
        <f t="shared" si="26"/>
        <v>0</v>
      </c>
      <c r="H65" s="453">
        <f t="shared" si="27"/>
        <v>0</v>
      </c>
      <c r="I65" s="473">
        <f t="shared" si="28"/>
        <v>0</v>
      </c>
      <c r="J65" s="473"/>
      <c r="K65" s="485"/>
      <c r="L65" s="476">
        <f t="shared" si="29"/>
        <v>0</v>
      </c>
      <c r="M65" s="485"/>
      <c r="N65" s="476">
        <f t="shared" si="30"/>
        <v>0</v>
      </c>
      <c r="O65" s="476">
        <f t="shared" si="31"/>
        <v>0</v>
      </c>
      <c r="P65" s="241"/>
    </row>
    <row r="66" spans="2:16">
      <c r="B66" s="160" t="str">
        <f t="shared" si="6"/>
        <v/>
      </c>
      <c r="C66" s="470">
        <f>IF(D11="","-",+C65+1)</f>
        <v>2055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5"/>
        <v>0</v>
      </c>
      <c r="G66" s="486">
        <f t="shared" si="26"/>
        <v>0</v>
      </c>
      <c r="H66" s="453">
        <f t="shared" si="27"/>
        <v>0</v>
      </c>
      <c r="I66" s="473">
        <f t="shared" si="28"/>
        <v>0</v>
      </c>
      <c r="J66" s="473"/>
      <c r="K66" s="485"/>
      <c r="L66" s="476">
        <f t="shared" si="29"/>
        <v>0</v>
      </c>
      <c r="M66" s="485"/>
      <c r="N66" s="476">
        <f t="shared" si="30"/>
        <v>0</v>
      </c>
      <c r="O66" s="476">
        <f t="shared" si="31"/>
        <v>0</v>
      </c>
      <c r="P66" s="241"/>
    </row>
    <row r="67" spans="2:16">
      <c r="B67" s="160" t="str">
        <f t="shared" si="6"/>
        <v/>
      </c>
      <c r="C67" s="470">
        <f>IF(D11="","-",+C66+1)</f>
        <v>2056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5"/>
        <v>0</v>
      </c>
      <c r="G67" s="486">
        <f t="shared" si="26"/>
        <v>0</v>
      </c>
      <c r="H67" s="453">
        <f t="shared" si="27"/>
        <v>0</v>
      </c>
      <c r="I67" s="473">
        <f t="shared" si="28"/>
        <v>0</v>
      </c>
      <c r="J67" s="473"/>
      <c r="K67" s="485"/>
      <c r="L67" s="476">
        <f t="shared" si="29"/>
        <v>0</v>
      </c>
      <c r="M67" s="485"/>
      <c r="N67" s="476">
        <f t="shared" si="30"/>
        <v>0</v>
      </c>
      <c r="O67" s="476">
        <f t="shared" si="31"/>
        <v>0</v>
      </c>
      <c r="P67" s="241"/>
    </row>
    <row r="68" spans="2:16">
      <c r="B68" s="160" t="str">
        <f t="shared" si="6"/>
        <v/>
      </c>
      <c r="C68" s="470">
        <f>IF(D11="","-",+C67+1)</f>
        <v>2057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5"/>
        <v>0</v>
      </c>
      <c r="G68" s="486">
        <f t="shared" si="26"/>
        <v>0</v>
      </c>
      <c r="H68" s="453">
        <f t="shared" si="27"/>
        <v>0</v>
      </c>
      <c r="I68" s="473">
        <f t="shared" si="28"/>
        <v>0</v>
      </c>
      <c r="J68" s="473"/>
      <c r="K68" s="485"/>
      <c r="L68" s="476">
        <f t="shared" si="29"/>
        <v>0</v>
      </c>
      <c r="M68" s="485"/>
      <c r="N68" s="476">
        <f t="shared" si="30"/>
        <v>0</v>
      </c>
      <c r="O68" s="476">
        <f t="shared" si="31"/>
        <v>0</v>
      </c>
      <c r="P68" s="241"/>
    </row>
    <row r="69" spans="2:16">
      <c r="B69" s="160" t="str">
        <f t="shared" si="6"/>
        <v/>
      </c>
      <c r="C69" s="470">
        <f>IF(D11="","-",+C68+1)</f>
        <v>2058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5"/>
        <v>0</v>
      </c>
      <c r="G69" s="486">
        <f t="shared" si="26"/>
        <v>0</v>
      </c>
      <c r="H69" s="453">
        <f t="shared" si="27"/>
        <v>0</v>
      </c>
      <c r="I69" s="473">
        <f t="shared" si="28"/>
        <v>0</v>
      </c>
      <c r="J69" s="473"/>
      <c r="K69" s="485"/>
      <c r="L69" s="476">
        <f t="shared" si="29"/>
        <v>0</v>
      </c>
      <c r="M69" s="485"/>
      <c r="N69" s="476">
        <f t="shared" si="30"/>
        <v>0</v>
      </c>
      <c r="O69" s="476">
        <f t="shared" si="31"/>
        <v>0</v>
      </c>
      <c r="P69" s="241"/>
    </row>
    <row r="70" spans="2:16">
      <c r="B70" s="160" t="str">
        <f t="shared" si="6"/>
        <v/>
      </c>
      <c r="C70" s="470">
        <f>IF(D11="","-",+C69+1)</f>
        <v>2059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5"/>
        <v>0</v>
      </c>
      <c r="G70" s="486">
        <f t="shared" si="26"/>
        <v>0</v>
      </c>
      <c r="H70" s="453">
        <f t="shared" si="27"/>
        <v>0</v>
      </c>
      <c r="I70" s="473">
        <f t="shared" si="28"/>
        <v>0</v>
      </c>
      <c r="J70" s="473"/>
      <c r="K70" s="485"/>
      <c r="L70" s="476">
        <f t="shared" si="29"/>
        <v>0</v>
      </c>
      <c r="M70" s="485"/>
      <c r="N70" s="476">
        <f t="shared" si="30"/>
        <v>0</v>
      </c>
      <c r="O70" s="476">
        <f t="shared" si="31"/>
        <v>0</v>
      </c>
      <c r="P70" s="241"/>
    </row>
    <row r="71" spans="2:16">
      <c r="B71" s="160" t="str">
        <f t="shared" si="6"/>
        <v/>
      </c>
      <c r="C71" s="470">
        <f>IF(D11="","-",+C70+1)</f>
        <v>2060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5"/>
        <v>0</v>
      </c>
      <c r="G71" s="486">
        <f t="shared" si="26"/>
        <v>0</v>
      </c>
      <c r="H71" s="453">
        <f t="shared" si="27"/>
        <v>0</v>
      </c>
      <c r="I71" s="473">
        <f t="shared" si="28"/>
        <v>0</v>
      </c>
      <c r="J71" s="473"/>
      <c r="K71" s="485"/>
      <c r="L71" s="476">
        <f t="shared" si="29"/>
        <v>0</v>
      </c>
      <c r="M71" s="485"/>
      <c r="N71" s="476">
        <f t="shared" si="30"/>
        <v>0</v>
      </c>
      <c r="O71" s="476">
        <f t="shared" si="31"/>
        <v>0</v>
      </c>
      <c r="P71" s="241"/>
    </row>
    <row r="72" spans="2:16" ht="13.5" thickBot="1">
      <c r="B72" s="160" t="str">
        <f t="shared" si="6"/>
        <v/>
      </c>
      <c r="C72" s="487">
        <f>IF(D11="","-",+C71+1)</f>
        <v>2061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5"/>
        <v>0</v>
      </c>
      <c r="G72" s="490">
        <f t="shared" si="26"/>
        <v>0</v>
      </c>
      <c r="H72" s="433">
        <f t="shared" si="27"/>
        <v>0</v>
      </c>
      <c r="I72" s="491">
        <f t="shared" si="28"/>
        <v>0</v>
      </c>
      <c r="J72" s="473"/>
      <c r="K72" s="492"/>
      <c r="L72" s="493">
        <f t="shared" si="29"/>
        <v>0</v>
      </c>
      <c r="M72" s="492"/>
      <c r="N72" s="493">
        <f t="shared" si="30"/>
        <v>0</v>
      </c>
      <c r="O72" s="493">
        <f t="shared" si="31"/>
        <v>0</v>
      </c>
      <c r="P72" s="241"/>
    </row>
    <row r="73" spans="2:16">
      <c r="C73" s="345" t="s">
        <v>77</v>
      </c>
      <c r="D73" s="346"/>
      <c r="E73" s="346">
        <f>SUM(E17:E72)</f>
        <v>387742.00000000017</v>
      </c>
      <c r="F73" s="346"/>
      <c r="G73" s="346">
        <f>SUM(G17:G72)</f>
        <v>1418215.7225911058</v>
      </c>
      <c r="H73" s="346">
        <f>SUM(H17:H72)</f>
        <v>1418215.7225911058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95" t="str">
        <f ca="1">P1</f>
        <v>PSO Project 5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36756.917403506392</v>
      </c>
      <c r="N87" s="506">
        <f>IF(J92&lt;D11,0,VLOOKUP(J92,C17:O72,11))</f>
        <v>36756.917403506392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38416.833530612799</v>
      </c>
      <c r="N88" s="510">
        <f>IF(J92&lt;D11,0,VLOOKUP(J92,C99:P154,7))</f>
        <v>38416.833530612799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Catoosa 138 kV Device (Cap. Bank)</v>
      </c>
      <c r="E89" s="231"/>
      <c r="F89" s="231"/>
      <c r="G89" s="231">
        <v>387742</v>
      </c>
      <c r="H89" s="231"/>
      <c r="I89" s="240"/>
      <c r="J89" s="240"/>
      <c r="K89" s="513"/>
      <c r="L89" s="514" t="s">
        <v>156</v>
      </c>
      <c r="M89" s="515">
        <f>+M88-M87</f>
        <v>1659.9161271064077</v>
      </c>
      <c r="N89" s="515">
        <f>+N88-N87</f>
        <v>1659.9161271064077</v>
      </c>
      <c r="O89" s="516">
        <f>+O88-O87</f>
        <v>0</v>
      </c>
      <c r="P89" s="231"/>
    </row>
    <row r="90" spans="1:16" ht="13.5" thickBot="1">
      <c r="C90" s="494"/>
      <c r="D90" s="517">
        <f>D8</f>
        <v>0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TP2005006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445">
        <v>387742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f>IF(D11=I10,"",D11)</f>
        <v>2006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f>IF(D11=I10,"",D12)</f>
        <v>5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9457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101</v>
      </c>
      <c r="H97" s="531" t="s">
        <v>286</v>
      </c>
      <c r="I97" s="459" t="s">
        <v>287</v>
      </c>
      <c r="J97" s="529" t="s">
        <v>98</v>
      </c>
      <c r="K97" s="532"/>
      <c r="L97" s="459" t="s">
        <v>211</v>
      </c>
      <c r="M97" s="461" t="s">
        <v>99</v>
      </c>
      <c r="N97" s="459" t="s">
        <v>211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2006</v>
      </c>
      <c r="D99" s="471">
        <v>0</v>
      </c>
      <c r="E99" s="478">
        <v>3801</v>
      </c>
      <c r="F99" s="477">
        <v>383941</v>
      </c>
      <c r="G99" s="535">
        <v>385841</v>
      </c>
      <c r="H99" s="536">
        <v>0</v>
      </c>
      <c r="I99" s="537">
        <v>0</v>
      </c>
      <c r="J99" s="476">
        <f t="shared" ref="J99:J130" si="32">+I99-H99</f>
        <v>0</v>
      </c>
      <c r="K99" s="476"/>
      <c r="L99" s="552">
        <v>0</v>
      </c>
      <c r="M99" s="560">
        <f>IF(L99&lt;&gt;0,+H99-L99,0)</f>
        <v>0</v>
      </c>
      <c r="N99" s="552">
        <v>0</v>
      </c>
      <c r="O99" s="475">
        <f>IF(N99&lt;&gt;0,+I99-N99,0)</f>
        <v>0</v>
      </c>
      <c r="P99" s="475">
        <f t="shared" ref="P99:P130" si="33">+O99-M99</f>
        <v>0</v>
      </c>
    </row>
    <row r="100" spans="1:16">
      <c r="B100" s="160" t="str">
        <f t="shared" ref="B100:B154" si="34">IF(D100=F99,"","IU")</f>
        <v/>
      </c>
      <c r="C100" s="470">
        <f>IF(D93="","-",+C99+1)</f>
        <v>2007</v>
      </c>
      <c r="D100" s="471">
        <v>383941</v>
      </c>
      <c r="E100" s="559">
        <v>7603</v>
      </c>
      <c r="F100" s="477">
        <v>376338</v>
      </c>
      <c r="G100" s="477">
        <v>380140</v>
      </c>
      <c r="H100" s="478">
        <v>66528</v>
      </c>
      <c r="I100" s="479">
        <v>66528</v>
      </c>
      <c r="J100" s="476">
        <f t="shared" si="32"/>
        <v>0</v>
      </c>
      <c r="K100" s="476"/>
      <c r="L100" s="474">
        <v>0</v>
      </c>
      <c r="M100" s="548">
        <f>IF(L100&lt;&gt;0,+H100-L100,0)</f>
        <v>0</v>
      </c>
      <c r="N100" s="474">
        <v>0</v>
      </c>
      <c r="O100" s="476">
        <f>IF(N100&lt;&gt;0,+I100-N100,0)</f>
        <v>0</v>
      </c>
      <c r="P100" s="476">
        <f t="shared" si="33"/>
        <v>0</v>
      </c>
    </row>
    <row r="101" spans="1:16">
      <c r="B101" s="160"/>
      <c r="C101" s="470">
        <f>IF(D93="","-",+C100+1)</f>
        <v>2008</v>
      </c>
      <c r="D101" s="471">
        <v>376159</v>
      </c>
      <c r="E101" s="559">
        <v>7316</v>
      </c>
      <c r="F101" s="477">
        <v>368843</v>
      </c>
      <c r="G101" s="477">
        <v>372501</v>
      </c>
      <c r="H101" s="478">
        <v>66486</v>
      </c>
      <c r="I101" s="479">
        <v>66486</v>
      </c>
      <c r="J101" s="476">
        <f t="shared" si="32"/>
        <v>0</v>
      </c>
      <c r="K101" s="476"/>
      <c r="L101" s="474">
        <v>66486</v>
      </c>
      <c r="M101" s="476">
        <f>IF(L101&lt;&gt;"",+H101-L101,0)</f>
        <v>0</v>
      </c>
      <c r="N101" s="474">
        <v>66486</v>
      </c>
      <c r="O101" s="476">
        <f>IF(N101&lt;&gt;"",+I101-N101,0)</f>
        <v>0</v>
      </c>
      <c r="P101" s="476">
        <f t="shared" si="33"/>
        <v>0</v>
      </c>
    </row>
    <row r="102" spans="1:16">
      <c r="B102" s="160"/>
      <c r="C102" s="470">
        <f>IF(D93="","-",+C101+1)</f>
        <v>2009</v>
      </c>
      <c r="D102" s="471">
        <v>369022</v>
      </c>
      <c r="E102" s="478">
        <v>6924</v>
      </c>
      <c r="F102" s="477">
        <v>362098</v>
      </c>
      <c r="G102" s="477">
        <v>365560</v>
      </c>
      <c r="H102" s="478">
        <v>60371.899487403767</v>
      </c>
      <c r="I102" s="479">
        <v>60371.899487403767</v>
      </c>
      <c r="J102" s="476">
        <f t="shared" si="32"/>
        <v>0</v>
      </c>
      <c r="K102" s="476"/>
      <c r="L102" s="474">
        <f t="shared" ref="L102:L107" si="35">H102</f>
        <v>60371.899487403767</v>
      </c>
      <c r="M102" s="548">
        <f t="shared" ref="M102:M133" si="36">IF(L102&lt;&gt;0,+H102-L102,0)</f>
        <v>0</v>
      </c>
      <c r="N102" s="474">
        <f t="shared" ref="N102:N107" si="37">I102</f>
        <v>60371.899487403767</v>
      </c>
      <c r="O102" s="476">
        <f t="shared" ref="O102:O133" si="38">IF(N102&lt;&gt;0,+I102-N102,0)</f>
        <v>0</v>
      </c>
      <c r="P102" s="476">
        <f t="shared" si="33"/>
        <v>0</v>
      </c>
    </row>
    <row r="103" spans="1:16">
      <c r="B103" s="160" t="str">
        <f t="shared" si="34"/>
        <v/>
      </c>
      <c r="C103" s="470">
        <f>IF(D93="","-",+C102+1)</f>
        <v>2010</v>
      </c>
      <c r="D103" s="471">
        <v>362098</v>
      </c>
      <c r="E103" s="478">
        <v>7603</v>
      </c>
      <c r="F103" s="477">
        <v>354495</v>
      </c>
      <c r="G103" s="477">
        <v>358296.5</v>
      </c>
      <c r="H103" s="478">
        <v>65222.531099646738</v>
      </c>
      <c r="I103" s="479">
        <v>65222.531099646738</v>
      </c>
      <c r="J103" s="476">
        <f t="shared" si="32"/>
        <v>0</v>
      </c>
      <c r="K103" s="476"/>
      <c r="L103" s="538">
        <f t="shared" si="35"/>
        <v>65222.531099646738</v>
      </c>
      <c r="M103" s="539">
        <f t="shared" si="36"/>
        <v>0</v>
      </c>
      <c r="N103" s="538">
        <f t="shared" si="37"/>
        <v>65222.531099646738</v>
      </c>
      <c r="O103" s="476">
        <f t="shared" si="38"/>
        <v>0</v>
      </c>
      <c r="P103" s="476">
        <f t="shared" si="33"/>
        <v>0</v>
      </c>
    </row>
    <row r="104" spans="1:16">
      <c r="B104" s="160" t="str">
        <f t="shared" si="34"/>
        <v/>
      </c>
      <c r="C104" s="470">
        <f>IF(D93="","-",+C103+1)</f>
        <v>2011</v>
      </c>
      <c r="D104" s="471">
        <v>354495</v>
      </c>
      <c r="E104" s="478">
        <v>7457</v>
      </c>
      <c r="F104" s="477">
        <v>347038</v>
      </c>
      <c r="G104" s="477">
        <v>350766.5</v>
      </c>
      <c r="H104" s="478">
        <v>56498.870276795831</v>
      </c>
      <c r="I104" s="479">
        <v>56498.870276795831</v>
      </c>
      <c r="J104" s="476">
        <f t="shared" si="32"/>
        <v>0</v>
      </c>
      <c r="K104" s="476"/>
      <c r="L104" s="538">
        <f t="shared" si="35"/>
        <v>56498.870276795831</v>
      </c>
      <c r="M104" s="539">
        <f t="shared" si="36"/>
        <v>0</v>
      </c>
      <c r="N104" s="538">
        <f t="shared" si="37"/>
        <v>56498.870276795831</v>
      </c>
      <c r="O104" s="476">
        <f t="shared" si="38"/>
        <v>0</v>
      </c>
      <c r="P104" s="476">
        <f t="shared" si="33"/>
        <v>0</v>
      </c>
    </row>
    <row r="105" spans="1:16">
      <c r="B105" s="160" t="str">
        <f t="shared" si="34"/>
        <v/>
      </c>
      <c r="C105" s="470">
        <f>IF(D93="","-",+C104+1)</f>
        <v>2012</v>
      </c>
      <c r="D105" s="471">
        <v>347038</v>
      </c>
      <c r="E105" s="478">
        <v>7457</v>
      </c>
      <c r="F105" s="477">
        <v>339581</v>
      </c>
      <c r="G105" s="477">
        <v>343309.5</v>
      </c>
      <c r="H105" s="478">
        <v>56843.953528154576</v>
      </c>
      <c r="I105" s="479">
        <v>56843.953528154576</v>
      </c>
      <c r="J105" s="476">
        <v>0</v>
      </c>
      <c r="K105" s="476"/>
      <c r="L105" s="538">
        <f t="shared" si="35"/>
        <v>56843.953528154576</v>
      </c>
      <c r="M105" s="539">
        <f t="shared" ref="M105:M110" si="39">IF(L105&lt;&gt;0,+H105-L105,0)</f>
        <v>0</v>
      </c>
      <c r="N105" s="538">
        <f t="shared" si="37"/>
        <v>56843.953528154576</v>
      </c>
      <c r="O105" s="476">
        <f t="shared" ref="O105:O110" si="40">IF(N105&lt;&gt;0,+I105-N105,0)</f>
        <v>0</v>
      </c>
      <c r="P105" s="476">
        <f t="shared" ref="P105:P110" si="41">+O105-M105</f>
        <v>0</v>
      </c>
    </row>
    <row r="106" spans="1:16">
      <c r="B106" s="160" t="str">
        <f t="shared" si="34"/>
        <v/>
      </c>
      <c r="C106" s="470">
        <f>IF(D93="","-",+C105+1)</f>
        <v>2013</v>
      </c>
      <c r="D106" s="471">
        <v>339581</v>
      </c>
      <c r="E106" s="478">
        <v>7457</v>
      </c>
      <c r="F106" s="477">
        <v>332124</v>
      </c>
      <c r="G106" s="477">
        <v>335852.5</v>
      </c>
      <c r="H106" s="478">
        <v>55799.472473591821</v>
      </c>
      <c r="I106" s="479">
        <v>55799.472473591821</v>
      </c>
      <c r="J106" s="476">
        <v>0</v>
      </c>
      <c r="K106" s="476"/>
      <c r="L106" s="538">
        <f t="shared" si="35"/>
        <v>55799.472473591821</v>
      </c>
      <c r="M106" s="539">
        <f t="shared" si="39"/>
        <v>0</v>
      </c>
      <c r="N106" s="538">
        <f t="shared" si="37"/>
        <v>55799.472473591821</v>
      </c>
      <c r="O106" s="476">
        <f t="shared" si="40"/>
        <v>0</v>
      </c>
      <c r="P106" s="476">
        <f t="shared" si="41"/>
        <v>0</v>
      </c>
    </row>
    <row r="107" spans="1:16">
      <c r="B107" s="160" t="str">
        <f t="shared" si="34"/>
        <v/>
      </c>
      <c r="C107" s="470">
        <f>IF(D93="","-",+C106+1)</f>
        <v>2014</v>
      </c>
      <c r="D107" s="471">
        <v>332124</v>
      </c>
      <c r="E107" s="478">
        <v>7457</v>
      </c>
      <c r="F107" s="477">
        <v>324667</v>
      </c>
      <c r="G107" s="477">
        <v>328395.5</v>
      </c>
      <c r="H107" s="478">
        <v>53628.064898886892</v>
      </c>
      <c r="I107" s="479">
        <v>53628.064898886892</v>
      </c>
      <c r="J107" s="476">
        <v>0</v>
      </c>
      <c r="K107" s="476"/>
      <c r="L107" s="538">
        <f t="shared" si="35"/>
        <v>53628.064898886892</v>
      </c>
      <c r="M107" s="539">
        <f t="shared" si="39"/>
        <v>0</v>
      </c>
      <c r="N107" s="538">
        <f t="shared" si="37"/>
        <v>53628.064898886892</v>
      </c>
      <c r="O107" s="476">
        <f t="shared" si="40"/>
        <v>0</v>
      </c>
      <c r="P107" s="476">
        <f t="shared" si="41"/>
        <v>0</v>
      </c>
    </row>
    <row r="108" spans="1:16">
      <c r="B108" s="160" t="str">
        <f t="shared" si="34"/>
        <v/>
      </c>
      <c r="C108" s="470">
        <f>IF(D93="","-",+C107+1)</f>
        <v>2015</v>
      </c>
      <c r="D108" s="471">
        <v>324667</v>
      </c>
      <c r="E108" s="478">
        <v>7457</v>
      </c>
      <c r="F108" s="477">
        <v>317210</v>
      </c>
      <c r="G108" s="477">
        <v>320938.5</v>
      </c>
      <c r="H108" s="478">
        <v>51246.477852296055</v>
      </c>
      <c r="I108" s="479">
        <v>51246.477852296055</v>
      </c>
      <c r="J108" s="476">
        <f t="shared" si="32"/>
        <v>0</v>
      </c>
      <c r="K108" s="476"/>
      <c r="L108" s="538">
        <f t="shared" ref="L108:L113" si="42">H108</f>
        <v>51246.477852296055</v>
      </c>
      <c r="M108" s="539">
        <f t="shared" si="39"/>
        <v>0</v>
      </c>
      <c r="N108" s="538">
        <f t="shared" ref="N108:N113" si="43">I108</f>
        <v>51246.477852296055</v>
      </c>
      <c r="O108" s="476">
        <f t="shared" si="40"/>
        <v>0</v>
      </c>
      <c r="P108" s="476">
        <f t="shared" si="41"/>
        <v>0</v>
      </c>
    </row>
    <row r="109" spans="1:16">
      <c r="B109" s="160" t="str">
        <f t="shared" si="34"/>
        <v/>
      </c>
      <c r="C109" s="470">
        <f>IF(D93="","-",+C108+1)</f>
        <v>2016</v>
      </c>
      <c r="D109" s="471">
        <v>317210</v>
      </c>
      <c r="E109" s="478">
        <v>8429</v>
      </c>
      <c r="F109" s="477">
        <v>308781</v>
      </c>
      <c r="G109" s="477">
        <v>312995.5</v>
      </c>
      <c r="H109" s="478">
        <v>48779.04927680167</v>
      </c>
      <c r="I109" s="479">
        <v>48779.04927680167</v>
      </c>
      <c r="J109" s="476">
        <f t="shared" si="32"/>
        <v>0</v>
      </c>
      <c r="K109" s="476"/>
      <c r="L109" s="538">
        <f t="shared" si="42"/>
        <v>48779.04927680167</v>
      </c>
      <c r="M109" s="539">
        <f t="shared" si="39"/>
        <v>0</v>
      </c>
      <c r="N109" s="538">
        <f t="shared" si="43"/>
        <v>48779.04927680167</v>
      </c>
      <c r="O109" s="476">
        <f t="shared" si="40"/>
        <v>0</v>
      </c>
      <c r="P109" s="476">
        <f t="shared" si="41"/>
        <v>0</v>
      </c>
    </row>
    <row r="110" spans="1:16">
      <c r="B110" s="160" t="str">
        <f t="shared" si="34"/>
        <v/>
      </c>
      <c r="C110" s="470">
        <f>IF(D93="","-",+C109+1)</f>
        <v>2017</v>
      </c>
      <c r="D110" s="471">
        <v>308781</v>
      </c>
      <c r="E110" s="478">
        <v>8429</v>
      </c>
      <c r="F110" s="477">
        <v>300352</v>
      </c>
      <c r="G110" s="477">
        <v>304566.5</v>
      </c>
      <c r="H110" s="478">
        <v>47064.028489702585</v>
      </c>
      <c r="I110" s="479">
        <v>47064.028489702585</v>
      </c>
      <c r="J110" s="476">
        <f t="shared" si="32"/>
        <v>0</v>
      </c>
      <c r="K110" s="476"/>
      <c r="L110" s="538">
        <f t="shared" si="42"/>
        <v>47064.028489702585</v>
      </c>
      <c r="M110" s="539">
        <f t="shared" si="39"/>
        <v>0</v>
      </c>
      <c r="N110" s="538">
        <f t="shared" si="43"/>
        <v>47064.028489702585</v>
      </c>
      <c r="O110" s="476">
        <f t="shared" si="40"/>
        <v>0</v>
      </c>
      <c r="P110" s="476">
        <f t="shared" si="41"/>
        <v>0</v>
      </c>
    </row>
    <row r="111" spans="1:16">
      <c r="B111" s="160" t="str">
        <f t="shared" si="34"/>
        <v/>
      </c>
      <c r="C111" s="470">
        <f>IF(D93="","-",+C110+1)</f>
        <v>2018</v>
      </c>
      <c r="D111" s="471">
        <v>300352</v>
      </c>
      <c r="E111" s="478">
        <v>9017</v>
      </c>
      <c r="F111" s="477">
        <v>291335</v>
      </c>
      <c r="G111" s="477">
        <v>295843.5</v>
      </c>
      <c r="H111" s="478">
        <v>39410.649664559314</v>
      </c>
      <c r="I111" s="479">
        <v>39410.649664559314</v>
      </c>
      <c r="J111" s="476">
        <f t="shared" si="32"/>
        <v>0</v>
      </c>
      <c r="K111" s="476"/>
      <c r="L111" s="538">
        <f t="shared" si="42"/>
        <v>39410.649664559314</v>
      </c>
      <c r="M111" s="539">
        <f t="shared" ref="M111" si="44">IF(L111&lt;&gt;0,+H111-L111,0)</f>
        <v>0</v>
      </c>
      <c r="N111" s="538">
        <f t="shared" si="43"/>
        <v>39410.649664559314</v>
      </c>
      <c r="O111" s="476">
        <f t="shared" ref="O111" si="45">IF(N111&lt;&gt;0,+I111-N111,0)</f>
        <v>0</v>
      </c>
      <c r="P111" s="476">
        <f t="shared" ref="P111" si="46">+O111-M111</f>
        <v>0</v>
      </c>
    </row>
    <row r="112" spans="1:16">
      <c r="B112" s="160" t="str">
        <f t="shared" si="34"/>
        <v/>
      </c>
      <c r="C112" s="470">
        <f>IF(D93="","-",+C111+1)</f>
        <v>2019</v>
      </c>
      <c r="D112" s="471">
        <v>291335</v>
      </c>
      <c r="E112" s="478">
        <v>9457</v>
      </c>
      <c r="F112" s="477">
        <v>281878</v>
      </c>
      <c r="G112" s="477">
        <v>286606.5</v>
      </c>
      <c r="H112" s="478">
        <v>39010.150115878176</v>
      </c>
      <c r="I112" s="479">
        <v>39010.150115878176</v>
      </c>
      <c r="J112" s="476">
        <f t="shared" si="32"/>
        <v>0</v>
      </c>
      <c r="K112" s="476"/>
      <c r="L112" s="538">
        <f t="shared" si="42"/>
        <v>39010.150115878176</v>
      </c>
      <c r="M112" s="539">
        <f t="shared" ref="M112:M113" si="47">IF(L112&lt;&gt;0,+H112-L112,0)</f>
        <v>0</v>
      </c>
      <c r="N112" s="538">
        <f t="shared" si="43"/>
        <v>39010.150115878176</v>
      </c>
      <c r="O112" s="476">
        <f t="shared" si="38"/>
        <v>0</v>
      </c>
      <c r="P112" s="476">
        <f t="shared" si="33"/>
        <v>0</v>
      </c>
    </row>
    <row r="113" spans="2:16">
      <c r="B113" s="160" t="str">
        <f t="shared" si="34"/>
        <v/>
      </c>
      <c r="C113" s="470">
        <f>IF(D93="","-",+C112+1)</f>
        <v>2020</v>
      </c>
      <c r="D113" s="471">
        <v>281878</v>
      </c>
      <c r="E113" s="478">
        <v>9017</v>
      </c>
      <c r="F113" s="477">
        <v>272861</v>
      </c>
      <c r="G113" s="477">
        <v>277369.5</v>
      </c>
      <c r="H113" s="478">
        <v>40996.940785437022</v>
      </c>
      <c r="I113" s="479">
        <v>40996.940785437022</v>
      </c>
      <c r="J113" s="476">
        <f t="shared" si="32"/>
        <v>0</v>
      </c>
      <c r="K113" s="476"/>
      <c r="L113" s="538">
        <f t="shared" si="42"/>
        <v>40996.940785437022</v>
      </c>
      <c r="M113" s="539">
        <f t="shared" si="47"/>
        <v>0</v>
      </c>
      <c r="N113" s="538">
        <f t="shared" si="43"/>
        <v>40996.940785437022</v>
      </c>
      <c r="O113" s="476">
        <f t="shared" si="38"/>
        <v>0</v>
      </c>
      <c r="P113" s="476">
        <f t="shared" si="33"/>
        <v>0</v>
      </c>
    </row>
    <row r="114" spans="2:16">
      <c r="B114" s="160" t="str">
        <f t="shared" si="34"/>
        <v/>
      </c>
      <c r="C114" s="470">
        <f>IF(D93="","-",+C113+1)</f>
        <v>2021</v>
      </c>
      <c r="D114" s="471">
        <v>272861</v>
      </c>
      <c r="E114" s="478">
        <v>9457</v>
      </c>
      <c r="F114" s="477">
        <v>263404</v>
      </c>
      <c r="G114" s="477">
        <v>268132.5</v>
      </c>
      <c r="H114" s="478">
        <v>39968.546077508974</v>
      </c>
      <c r="I114" s="479">
        <v>39968.546077508974</v>
      </c>
      <c r="J114" s="476">
        <f t="shared" si="32"/>
        <v>0</v>
      </c>
      <c r="K114" s="476"/>
      <c r="L114" s="538">
        <f t="shared" ref="L114" si="48">H114</f>
        <v>39968.546077508974</v>
      </c>
      <c r="M114" s="539">
        <f t="shared" ref="M114" si="49">IF(L114&lt;&gt;0,+H114-L114,0)</f>
        <v>0</v>
      </c>
      <c r="N114" s="538">
        <f t="shared" ref="N114" si="50">I114</f>
        <v>39968.546077508974</v>
      </c>
      <c r="O114" s="476">
        <f t="shared" ref="O114" si="51">IF(N114&lt;&gt;0,+I114-N114,0)</f>
        <v>0</v>
      </c>
      <c r="P114" s="476">
        <f t="shared" ref="P114" si="52">+O114-M114</f>
        <v>0</v>
      </c>
    </row>
    <row r="115" spans="2:16">
      <c r="B115" s="160" t="str">
        <f t="shared" si="34"/>
        <v/>
      </c>
      <c r="C115" s="631">
        <f>IF(D93="","-",+C114+1)</f>
        <v>2022</v>
      </c>
      <c r="D115" s="345">
        <v>263404</v>
      </c>
      <c r="E115" s="484">
        <v>9942</v>
      </c>
      <c r="F115" s="483">
        <v>253462</v>
      </c>
      <c r="G115" s="483">
        <v>258433</v>
      </c>
      <c r="H115" s="486">
        <v>38416.833530612799</v>
      </c>
      <c r="I115" s="540">
        <v>38416.833530612799</v>
      </c>
      <c r="J115" s="476">
        <f t="shared" si="32"/>
        <v>0</v>
      </c>
      <c r="K115" s="476"/>
      <c r="L115" s="485"/>
      <c r="M115" s="476">
        <f t="shared" si="36"/>
        <v>0</v>
      </c>
      <c r="N115" s="485"/>
      <c r="O115" s="476">
        <f t="shared" si="38"/>
        <v>0</v>
      </c>
      <c r="P115" s="476">
        <f t="shared" si="33"/>
        <v>0</v>
      </c>
    </row>
    <row r="116" spans="2:16">
      <c r="B116" s="160" t="str">
        <f t="shared" si="34"/>
        <v/>
      </c>
      <c r="C116" s="470">
        <f>IF(D93="","-",+C115+1)</f>
        <v>2023</v>
      </c>
      <c r="D116" s="345">
        <f>IF(F115+SUM(E$99:E115)=D$92,F115,D$92-SUM(E$99:E115))</f>
        <v>253462</v>
      </c>
      <c r="E116" s="484">
        <f>IF(+J96&lt;F115,J96,D116)</f>
        <v>9457</v>
      </c>
      <c r="F116" s="483">
        <f t="shared" ref="F116:F130" si="53">+D116-E116</f>
        <v>244005</v>
      </c>
      <c r="G116" s="483">
        <f t="shared" ref="G116:G130" si="54">+(F116+D116)/2</f>
        <v>248733.5</v>
      </c>
      <c r="H116" s="486">
        <f t="shared" ref="H116:H154" si="55">+J$94*G116+E116</f>
        <v>37761.079685491604</v>
      </c>
      <c r="I116" s="540">
        <f t="shared" ref="I116:I154" si="56">+J$95*G116+E116</f>
        <v>37761.079685491604</v>
      </c>
      <c r="J116" s="476">
        <f t="shared" si="32"/>
        <v>0</v>
      </c>
      <c r="K116" s="476"/>
      <c r="L116" s="485"/>
      <c r="M116" s="476">
        <f t="shared" si="36"/>
        <v>0</v>
      </c>
      <c r="N116" s="485"/>
      <c r="O116" s="476">
        <f t="shared" si="38"/>
        <v>0</v>
      </c>
      <c r="P116" s="476">
        <f t="shared" si="33"/>
        <v>0</v>
      </c>
    </row>
    <row r="117" spans="2:16">
      <c r="B117" s="160" t="str">
        <f t="shared" si="34"/>
        <v/>
      </c>
      <c r="C117" s="470">
        <f>IF(D93="","-",+C116+1)</f>
        <v>2024</v>
      </c>
      <c r="D117" s="345">
        <f>IF(F116+SUM(E$99:E116)=D$92,F116,D$92-SUM(E$99:E116))</f>
        <v>244005</v>
      </c>
      <c r="E117" s="484">
        <f>IF(+J96&lt;F116,J96,D117)</f>
        <v>9457</v>
      </c>
      <c r="F117" s="483">
        <f t="shared" si="53"/>
        <v>234548</v>
      </c>
      <c r="G117" s="483">
        <f t="shared" si="54"/>
        <v>239276.5</v>
      </c>
      <c r="H117" s="486">
        <f t="shared" si="55"/>
        <v>36684.941241793051</v>
      </c>
      <c r="I117" s="540">
        <f t="shared" si="56"/>
        <v>36684.941241793051</v>
      </c>
      <c r="J117" s="476">
        <f t="shared" si="32"/>
        <v>0</v>
      </c>
      <c r="K117" s="476"/>
      <c r="L117" s="485"/>
      <c r="M117" s="476">
        <f t="shared" si="36"/>
        <v>0</v>
      </c>
      <c r="N117" s="485"/>
      <c r="O117" s="476">
        <f t="shared" si="38"/>
        <v>0</v>
      </c>
      <c r="P117" s="476">
        <f t="shared" si="33"/>
        <v>0</v>
      </c>
    </row>
    <row r="118" spans="2:16">
      <c r="B118" s="160" t="str">
        <f t="shared" si="34"/>
        <v/>
      </c>
      <c r="C118" s="470">
        <f>IF(D93="","-",+C117+1)</f>
        <v>2025</v>
      </c>
      <c r="D118" s="345">
        <f>IF(F117+SUM(E$99:E117)=D$92,F117,D$92-SUM(E$99:E117))</f>
        <v>234548</v>
      </c>
      <c r="E118" s="484">
        <f>IF(+J96&lt;F117,J96,D118)</f>
        <v>9457</v>
      </c>
      <c r="F118" s="483">
        <f t="shared" si="53"/>
        <v>225091</v>
      </c>
      <c r="G118" s="483">
        <f t="shared" si="54"/>
        <v>229819.5</v>
      </c>
      <c r="H118" s="486">
        <f t="shared" si="55"/>
        <v>35608.802798094497</v>
      </c>
      <c r="I118" s="540">
        <f t="shared" si="56"/>
        <v>35608.802798094497</v>
      </c>
      <c r="J118" s="476">
        <f t="shared" si="32"/>
        <v>0</v>
      </c>
      <c r="K118" s="476"/>
      <c r="L118" s="485"/>
      <c r="M118" s="476">
        <f t="shared" si="36"/>
        <v>0</v>
      </c>
      <c r="N118" s="485"/>
      <c r="O118" s="476">
        <f t="shared" si="38"/>
        <v>0</v>
      </c>
      <c r="P118" s="476">
        <f t="shared" si="33"/>
        <v>0</v>
      </c>
    </row>
    <row r="119" spans="2:16">
      <c r="B119" s="160" t="str">
        <f t="shared" si="34"/>
        <v/>
      </c>
      <c r="C119" s="470">
        <f>IF(D93="","-",+C118+1)</f>
        <v>2026</v>
      </c>
      <c r="D119" s="345">
        <f>IF(F118+SUM(E$99:E118)=D$92,F118,D$92-SUM(E$99:E118))</f>
        <v>225091</v>
      </c>
      <c r="E119" s="484">
        <f>IF(+J96&lt;F118,J96,D119)</f>
        <v>9457</v>
      </c>
      <c r="F119" s="483">
        <f t="shared" si="53"/>
        <v>215634</v>
      </c>
      <c r="G119" s="483">
        <f t="shared" si="54"/>
        <v>220362.5</v>
      </c>
      <c r="H119" s="486">
        <f t="shared" si="55"/>
        <v>34532.664354395944</v>
      </c>
      <c r="I119" s="540">
        <f t="shared" si="56"/>
        <v>34532.664354395944</v>
      </c>
      <c r="J119" s="476">
        <f t="shared" si="32"/>
        <v>0</v>
      </c>
      <c r="K119" s="476"/>
      <c r="L119" s="485"/>
      <c r="M119" s="476">
        <f t="shared" si="36"/>
        <v>0</v>
      </c>
      <c r="N119" s="485"/>
      <c r="O119" s="476">
        <f t="shared" si="38"/>
        <v>0</v>
      </c>
      <c r="P119" s="476">
        <f t="shared" si="33"/>
        <v>0</v>
      </c>
    </row>
    <row r="120" spans="2:16">
      <c r="B120" s="160" t="str">
        <f t="shared" si="34"/>
        <v/>
      </c>
      <c r="C120" s="470">
        <f>IF(D93="","-",+C119+1)</f>
        <v>2027</v>
      </c>
      <c r="D120" s="345">
        <f>IF(F119+SUM(E$99:E119)=D$92,F119,D$92-SUM(E$99:E119))</f>
        <v>215634</v>
      </c>
      <c r="E120" s="484">
        <f>IF(+J96&lt;F119,J96,D120)</f>
        <v>9457</v>
      </c>
      <c r="F120" s="483">
        <f t="shared" si="53"/>
        <v>206177</v>
      </c>
      <c r="G120" s="483">
        <f t="shared" si="54"/>
        <v>210905.5</v>
      </c>
      <c r="H120" s="486">
        <f t="shared" si="55"/>
        <v>33456.52591069739</v>
      </c>
      <c r="I120" s="540">
        <f t="shared" si="56"/>
        <v>33456.52591069739</v>
      </c>
      <c r="J120" s="476">
        <f t="shared" si="32"/>
        <v>0</v>
      </c>
      <c r="K120" s="476"/>
      <c r="L120" s="485"/>
      <c r="M120" s="476">
        <f t="shared" si="36"/>
        <v>0</v>
      </c>
      <c r="N120" s="485"/>
      <c r="O120" s="476">
        <f t="shared" si="38"/>
        <v>0</v>
      </c>
      <c r="P120" s="476">
        <f t="shared" si="33"/>
        <v>0</v>
      </c>
    </row>
    <row r="121" spans="2:16">
      <c r="B121" s="160" t="str">
        <f t="shared" si="34"/>
        <v/>
      </c>
      <c r="C121" s="470">
        <f>IF(D93="","-",+C120+1)</f>
        <v>2028</v>
      </c>
      <c r="D121" s="345">
        <f>IF(F120+SUM(E$99:E120)=D$92,F120,D$92-SUM(E$99:E120))</f>
        <v>206177</v>
      </c>
      <c r="E121" s="484">
        <f>IF(+J96&lt;F120,J96,D121)</f>
        <v>9457</v>
      </c>
      <c r="F121" s="483">
        <f t="shared" si="53"/>
        <v>196720</v>
      </c>
      <c r="G121" s="483">
        <f t="shared" si="54"/>
        <v>201448.5</v>
      </c>
      <c r="H121" s="486">
        <f t="shared" si="55"/>
        <v>32380.387466998836</v>
      </c>
      <c r="I121" s="540">
        <f t="shared" si="56"/>
        <v>32380.387466998836</v>
      </c>
      <c r="J121" s="476">
        <f t="shared" si="32"/>
        <v>0</v>
      </c>
      <c r="K121" s="476"/>
      <c r="L121" s="485"/>
      <c r="M121" s="476">
        <f t="shared" si="36"/>
        <v>0</v>
      </c>
      <c r="N121" s="485"/>
      <c r="O121" s="476">
        <f t="shared" si="38"/>
        <v>0</v>
      </c>
      <c r="P121" s="476">
        <f t="shared" si="33"/>
        <v>0</v>
      </c>
    </row>
    <row r="122" spans="2:16">
      <c r="B122" s="160" t="str">
        <f t="shared" si="34"/>
        <v/>
      </c>
      <c r="C122" s="470">
        <f>IF(D93="","-",+C121+1)</f>
        <v>2029</v>
      </c>
      <c r="D122" s="345">
        <f>IF(F121+SUM(E$99:E121)=D$92,F121,D$92-SUM(E$99:E121))</f>
        <v>196720</v>
      </c>
      <c r="E122" s="484">
        <f>IF(+J96&lt;F121,J96,D122)</f>
        <v>9457</v>
      </c>
      <c r="F122" s="483">
        <f t="shared" si="53"/>
        <v>187263</v>
      </c>
      <c r="G122" s="483">
        <f t="shared" si="54"/>
        <v>191991.5</v>
      </c>
      <c r="H122" s="486">
        <f t="shared" si="55"/>
        <v>31304.249023300283</v>
      </c>
      <c r="I122" s="540">
        <f t="shared" si="56"/>
        <v>31304.249023300283</v>
      </c>
      <c r="J122" s="476">
        <f t="shared" si="32"/>
        <v>0</v>
      </c>
      <c r="K122" s="476"/>
      <c r="L122" s="485"/>
      <c r="M122" s="476">
        <f t="shared" si="36"/>
        <v>0</v>
      </c>
      <c r="N122" s="485"/>
      <c r="O122" s="476">
        <f t="shared" si="38"/>
        <v>0</v>
      </c>
      <c r="P122" s="476">
        <f t="shared" si="33"/>
        <v>0</v>
      </c>
    </row>
    <row r="123" spans="2:16">
      <c r="B123" s="160" t="str">
        <f t="shared" si="34"/>
        <v/>
      </c>
      <c r="C123" s="470">
        <f>IF(D93="","-",+C122+1)</f>
        <v>2030</v>
      </c>
      <c r="D123" s="345">
        <f>IF(F122+SUM(E$99:E122)=D$92,F122,D$92-SUM(E$99:E122))</f>
        <v>187263</v>
      </c>
      <c r="E123" s="484">
        <f>IF(+J96&lt;F122,J96,D123)</f>
        <v>9457</v>
      </c>
      <c r="F123" s="483">
        <f t="shared" si="53"/>
        <v>177806</v>
      </c>
      <c r="G123" s="483">
        <f t="shared" si="54"/>
        <v>182534.5</v>
      </c>
      <c r="H123" s="486">
        <f t="shared" si="55"/>
        <v>30228.110579601729</v>
      </c>
      <c r="I123" s="540">
        <f t="shared" si="56"/>
        <v>30228.110579601729</v>
      </c>
      <c r="J123" s="476">
        <f t="shared" si="32"/>
        <v>0</v>
      </c>
      <c r="K123" s="476"/>
      <c r="L123" s="485"/>
      <c r="M123" s="476">
        <f t="shared" si="36"/>
        <v>0</v>
      </c>
      <c r="N123" s="485"/>
      <c r="O123" s="476">
        <f t="shared" si="38"/>
        <v>0</v>
      </c>
      <c r="P123" s="476">
        <f t="shared" si="33"/>
        <v>0</v>
      </c>
    </row>
    <row r="124" spans="2:16">
      <c r="B124" s="160" t="str">
        <f t="shared" si="34"/>
        <v/>
      </c>
      <c r="C124" s="470">
        <f>IF(D93="","-",+C123+1)</f>
        <v>2031</v>
      </c>
      <c r="D124" s="345">
        <f>IF(F123+SUM(E$99:E123)=D$92,F123,D$92-SUM(E$99:E123))</f>
        <v>177806</v>
      </c>
      <c r="E124" s="484">
        <f>IF(+J96&lt;F123,J96,D124)</f>
        <v>9457</v>
      </c>
      <c r="F124" s="483">
        <f t="shared" si="53"/>
        <v>168349</v>
      </c>
      <c r="G124" s="483">
        <f t="shared" si="54"/>
        <v>173077.5</v>
      </c>
      <c r="H124" s="486">
        <f t="shared" si="55"/>
        <v>29151.972135903176</v>
      </c>
      <c r="I124" s="540">
        <f t="shared" si="56"/>
        <v>29151.972135903176</v>
      </c>
      <c r="J124" s="476">
        <f t="shared" si="32"/>
        <v>0</v>
      </c>
      <c r="K124" s="476"/>
      <c r="L124" s="485"/>
      <c r="M124" s="476">
        <f t="shared" si="36"/>
        <v>0</v>
      </c>
      <c r="N124" s="485"/>
      <c r="O124" s="476">
        <f t="shared" si="38"/>
        <v>0</v>
      </c>
      <c r="P124" s="476">
        <f t="shared" si="33"/>
        <v>0</v>
      </c>
    </row>
    <row r="125" spans="2:16">
      <c r="B125" s="160" t="str">
        <f t="shared" si="34"/>
        <v/>
      </c>
      <c r="C125" s="470">
        <f>IF(D93="","-",+C124+1)</f>
        <v>2032</v>
      </c>
      <c r="D125" s="345">
        <f>IF(F124+SUM(E$99:E124)=D$92,F124,D$92-SUM(E$99:E124))</f>
        <v>168349</v>
      </c>
      <c r="E125" s="484">
        <f>IF(+J96&lt;F124,J96,D125)</f>
        <v>9457</v>
      </c>
      <c r="F125" s="483">
        <f t="shared" si="53"/>
        <v>158892</v>
      </c>
      <c r="G125" s="483">
        <f t="shared" si="54"/>
        <v>163620.5</v>
      </c>
      <c r="H125" s="486">
        <f t="shared" si="55"/>
        <v>28075.833692204626</v>
      </c>
      <c r="I125" s="540">
        <f t="shared" si="56"/>
        <v>28075.833692204626</v>
      </c>
      <c r="J125" s="476">
        <f t="shared" si="32"/>
        <v>0</v>
      </c>
      <c r="K125" s="476"/>
      <c r="L125" s="485"/>
      <c r="M125" s="476">
        <f t="shared" si="36"/>
        <v>0</v>
      </c>
      <c r="N125" s="485"/>
      <c r="O125" s="476">
        <f t="shared" si="38"/>
        <v>0</v>
      </c>
      <c r="P125" s="476">
        <f t="shared" si="33"/>
        <v>0</v>
      </c>
    </row>
    <row r="126" spans="2:16">
      <c r="B126" s="160" t="str">
        <f t="shared" si="34"/>
        <v/>
      </c>
      <c r="C126" s="470">
        <f>IF(D93="","-",+C125+1)</f>
        <v>2033</v>
      </c>
      <c r="D126" s="345">
        <f>IF(F125+SUM(E$99:E125)=D$92,F125,D$92-SUM(E$99:E125))</f>
        <v>158892</v>
      </c>
      <c r="E126" s="484">
        <f>IF(+J96&lt;F125,J96,D126)</f>
        <v>9457</v>
      </c>
      <c r="F126" s="483">
        <f t="shared" si="53"/>
        <v>149435</v>
      </c>
      <c r="G126" s="483">
        <f t="shared" si="54"/>
        <v>154163.5</v>
      </c>
      <c r="H126" s="486">
        <f t="shared" si="55"/>
        <v>26999.695248506072</v>
      </c>
      <c r="I126" s="540">
        <f t="shared" si="56"/>
        <v>26999.695248506072</v>
      </c>
      <c r="J126" s="476">
        <f t="shared" si="32"/>
        <v>0</v>
      </c>
      <c r="K126" s="476"/>
      <c r="L126" s="485"/>
      <c r="M126" s="476">
        <f t="shared" si="36"/>
        <v>0</v>
      </c>
      <c r="N126" s="485"/>
      <c r="O126" s="476">
        <f t="shared" si="38"/>
        <v>0</v>
      </c>
      <c r="P126" s="476">
        <f t="shared" si="33"/>
        <v>0</v>
      </c>
    </row>
    <row r="127" spans="2:16">
      <c r="B127" s="160" t="str">
        <f t="shared" si="34"/>
        <v/>
      </c>
      <c r="C127" s="470">
        <f>IF(D93="","-",+C126+1)</f>
        <v>2034</v>
      </c>
      <c r="D127" s="345">
        <f>IF(F126+SUM(E$99:E126)=D$92,F126,D$92-SUM(E$99:E126))</f>
        <v>149435</v>
      </c>
      <c r="E127" s="484">
        <f>IF(+J96&lt;F126,J96,D127)</f>
        <v>9457</v>
      </c>
      <c r="F127" s="483">
        <f t="shared" si="53"/>
        <v>139978</v>
      </c>
      <c r="G127" s="483">
        <f t="shared" si="54"/>
        <v>144706.5</v>
      </c>
      <c r="H127" s="486">
        <f t="shared" si="55"/>
        <v>25923.556804807518</v>
      </c>
      <c r="I127" s="540">
        <f t="shared" si="56"/>
        <v>25923.556804807518</v>
      </c>
      <c r="J127" s="476">
        <f t="shared" si="32"/>
        <v>0</v>
      </c>
      <c r="K127" s="476"/>
      <c r="L127" s="485"/>
      <c r="M127" s="476">
        <f t="shared" si="36"/>
        <v>0</v>
      </c>
      <c r="N127" s="485"/>
      <c r="O127" s="476">
        <f t="shared" si="38"/>
        <v>0</v>
      </c>
      <c r="P127" s="476">
        <f t="shared" si="33"/>
        <v>0</v>
      </c>
    </row>
    <row r="128" spans="2:16">
      <c r="B128" s="160" t="str">
        <f t="shared" si="34"/>
        <v/>
      </c>
      <c r="C128" s="470">
        <f>IF(D93="","-",+C127+1)</f>
        <v>2035</v>
      </c>
      <c r="D128" s="345">
        <f>IF(F127+SUM(E$99:E127)=D$92,F127,D$92-SUM(E$99:E127))</f>
        <v>139978</v>
      </c>
      <c r="E128" s="484">
        <f>IF(+J96&lt;F127,J96,D128)</f>
        <v>9457</v>
      </c>
      <c r="F128" s="483">
        <f t="shared" si="53"/>
        <v>130521</v>
      </c>
      <c r="G128" s="483">
        <f t="shared" si="54"/>
        <v>135249.5</v>
      </c>
      <c r="H128" s="486">
        <f t="shared" si="55"/>
        <v>24847.418361108965</v>
      </c>
      <c r="I128" s="540">
        <f t="shared" si="56"/>
        <v>24847.418361108965</v>
      </c>
      <c r="J128" s="476">
        <f t="shared" si="32"/>
        <v>0</v>
      </c>
      <c r="K128" s="476"/>
      <c r="L128" s="485"/>
      <c r="M128" s="476">
        <f t="shared" si="36"/>
        <v>0</v>
      </c>
      <c r="N128" s="485"/>
      <c r="O128" s="476">
        <f t="shared" si="38"/>
        <v>0</v>
      </c>
      <c r="P128" s="476">
        <f t="shared" si="33"/>
        <v>0</v>
      </c>
    </row>
    <row r="129" spans="2:16">
      <c r="B129" s="160" t="str">
        <f t="shared" si="34"/>
        <v/>
      </c>
      <c r="C129" s="470">
        <f>IF(D93="","-",+C128+1)</f>
        <v>2036</v>
      </c>
      <c r="D129" s="345">
        <f>IF(F128+SUM(E$99:E128)=D$92,F128,D$92-SUM(E$99:E128))</f>
        <v>130521</v>
      </c>
      <c r="E129" s="484">
        <f>IF(+J96&lt;F128,J96,D129)</f>
        <v>9457</v>
      </c>
      <c r="F129" s="483">
        <f t="shared" si="53"/>
        <v>121064</v>
      </c>
      <c r="G129" s="483">
        <f t="shared" si="54"/>
        <v>125792.5</v>
      </c>
      <c r="H129" s="486">
        <f t="shared" si="55"/>
        <v>23771.279917410411</v>
      </c>
      <c r="I129" s="540">
        <f t="shared" si="56"/>
        <v>23771.279917410411</v>
      </c>
      <c r="J129" s="476">
        <f t="shared" si="32"/>
        <v>0</v>
      </c>
      <c r="K129" s="476"/>
      <c r="L129" s="485"/>
      <c r="M129" s="476">
        <f t="shared" si="36"/>
        <v>0</v>
      </c>
      <c r="N129" s="485"/>
      <c r="O129" s="476">
        <f t="shared" si="38"/>
        <v>0</v>
      </c>
      <c r="P129" s="476">
        <f t="shared" si="33"/>
        <v>0</v>
      </c>
    </row>
    <row r="130" spans="2:16">
      <c r="B130" s="160" t="str">
        <f t="shared" si="34"/>
        <v/>
      </c>
      <c r="C130" s="470">
        <f>IF(D93="","-",+C129+1)</f>
        <v>2037</v>
      </c>
      <c r="D130" s="345">
        <f>IF(F129+SUM(E$99:E129)=D$92,F129,D$92-SUM(E$99:E129))</f>
        <v>121064</v>
      </c>
      <c r="E130" s="484">
        <f>IF(+J96&lt;F129,J96,D130)</f>
        <v>9457</v>
      </c>
      <c r="F130" s="483">
        <f t="shared" si="53"/>
        <v>111607</v>
      </c>
      <c r="G130" s="483">
        <f t="shared" si="54"/>
        <v>116335.5</v>
      </c>
      <c r="H130" s="486">
        <f t="shared" si="55"/>
        <v>22695.141473711858</v>
      </c>
      <c r="I130" s="540">
        <f t="shared" si="56"/>
        <v>22695.141473711858</v>
      </c>
      <c r="J130" s="476">
        <f t="shared" si="32"/>
        <v>0</v>
      </c>
      <c r="K130" s="476"/>
      <c r="L130" s="485"/>
      <c r="M130" s="476">
        <f t="shared" si="36"/>
        <v>0</v>
      </c>
      <c r="N130" s="485"/>
      <c r="O130" s="476">
        <f t="shared" si="38"/>
        <v>0</v>
      </c>
      <c r="P130" s="476">
        <f t="shared" si="33"/>
        <v>0</v>
      </c>
    </row>
    <row r="131" spans="2:16">
      <c r="B131" s="160" t="str">
        <f t="shared" si="34"/>
        <v/>
      </c>
      <c r="C131" s="470">
        <f>IF(D93="","-",+C130+1)</f>
        <v>2038</v>
      </c>
      <c r="D131" s="345">
        <f>IF(F130+SUM(E$99:E130)=D$92,F130,D$92-SUM(E$99:E130))</f>
        <v>111607</v>
      </c>
      <c r="E131" s="484">
        <f>IF(+J96&lt;F130,J96,D131)</f>
        <v>9457</v>
      </c>
      <c r="F131" s="483">
        <f t="shared" ref="F131:F154" si="57">+D131-E131</f>
        <v>102150</v>
      </c>
      <c r="G131" s="483">
        <f t="shared" ref="G131:G154" si="58">+(F131+D131)/2</f>
        <v>106878.5</v>
      </c>
      <c r="H131" s="486">
        <f t="shared" si="55"/>
        <v>21619.003030013304</v>
      </c>
      <c r="I131" s="540">
        <f t="shared" si="56"/>
        <v>21619.003030013304</v>
      </c>
      <c r="J131" s="476">
        <f t="shared" ref="J131:J154" si="59">+I131-H131</f>
        <v>0</v>
      </c>
      <c r="K131" s="476"/>
      <c r="L131" s="485"/>
      <c r="M131" s="476">
        <f t="shared" si="36"/>
        <v>0</v>
      </c>
      <c r="N131" s="485"/>
      <c r="O131" s="476">
        <f t="shared" si="38"/>
        <v>0</v>
      </c>
      <c r="P131" s="476">
        <f t="shared" ref="P131:P154" si="60">+O131-M131</f>
        <v>0</v>
      </c>
    </row>
    <row r="132" spans="2:16">
      <c r="B132" s="160" t="str">
        <f t="shared" si="34"/>
        <v/>
      </c>
      <c r="C132" s="470">
        <f>IF(D93="","-",+C131+1)</f>
        <v>2039</v>
      </c>
      <c r="D132" s="345">
        <f>IF(F131+SUM(E$99:E131)=D$92,F131,D$92-SUM(E$99:E131))</f>
        <v>102150</v>
      </c>
      <c r="E132" s="484">
        <f>IF(+J96&lt;F131,J96,D132)</f>
        <v>9457</v>
      </c>
      <c r="F132" s="483">
        <f t="shared" si="57"/>
        <v>92693</v>
      </c>
      <c r="G132" s="483">
        <f t="shared" si="58"/>
        <v>97421.5</v>
      </c>
      <c r="H132" s="486">
        <f t="shared" si="55"/>
        <v>20542.864586314754</v>
      </c>
      <c r="I132" s="540">
        <f t="shared" si="56"/>
        <v>20542.864586314754</v>
      </c>
      <c r="J132" s="476">
        <f t="shared" si="59"/>
        <v>0</v>
      </c>
      <c r="K132" s="476"/>
      <c r="L132" s="485"/>
      <c r="M132" s="476">
        <f t="shared" si="36"/>
        <v>0</v>
      </c>
      <c r="N132" s="485"/>
      <c r="O132" s="476">
        <f t="shared" si="38"/>
        <v>0</v>
      </c>
      <c r="P132" s="476">
        <f t="shared" si="60"/>
        <v>0</v>
      </c>
    </row>
    <row r="133" spans="2:16">
      <c r="B133" s="160" t="str">
        <f t="shared" si="34"/>
        <v/>
      </c>
      <c r="C133" s="470">
        <f>IF(D93="","-",+C132+1)</f>
        <v>2040</v>
      </c>
      <c r="D133" s="345">
        <f>IF(F132+SUM(E$99:E132)=D$92,F132,D$92-SUM(E$99:E132))</f>
        <v>92693</v>
      </c>
      <c r="E133" s="484">
        <f>IF(+J96&lt;F132,J96,D133)</f>
        <v>9457</v>
      </c>
      <c r="F133" s="483">
        <f t="shared" si="57"/>
        <v>83236</v>
      </c>
      <c r="G133" s="483">
        <f t="shared" si="58"/>
        <v>87964.5</v>
      </c>
      <c r="H133" s="486">
        <f t="shared" si="55"/>
        <v>19466.7261426162</v>
      </c>
      <c r="I133" s="540">
        <f t="shared" si="56"/>
        <v>19466.7261426162</v>
      </c>
      <c r="J133" s="476">
        <f t="shared" si="59"/>
        <v>0</v>
      </c>
      <c r="K133" s="476"/>
      <c r="L133" s="485"/>
      <c r="M133" s="476">
        <f t="shared" si="36"/>
        <v>0</v>
      </c>
      <c r="N133" s="485"/>
      <c r="O133" s="476">
        <f t="shared" si="38"/>
        <v>0</v>
      </c>
      <c r="P133" s="476">
        <f t="shared" si="60"/>
        <v>0</v>
      </c>
    </row>
    <row r="134" spans="2:16">
      <c r="B134" s="160" t="str">
        <f t="shared" si="34"/>
        <v/>
      </c>
      <c r="C134" s="470">
        <f>IF(D93="","-",+C133+1)</f>
        <v>2041</v>
      </c>
      <c r="D134" s="345">
        <f>IF(F133+SUM(E$99:E133)=D$92,F133,D$92-SUM(E$99:E133))</f>
        <v>83236</v>
      </c>
      <c r="E134" s="484">
        <f>IF(+J96&lt;F133,J96,D134)</f>
        <v>9457</v>
      </c>
      <c r="F134" s="483">
        <f t="shared" si="57"/>
        <v>73779</v>
      </c>
      <c r="G134" s="483">
        <f t="shared" si="58"/>
        <v>78507.5</v>
      </c>
      <c r="H134" s="486">
        <f t="shared" si="55"/>
        <v>18390.587698917647</v>
      </c>
      <c r="I134" s="540">
        <f t="shared" si="56"/>
        <v>18390.587698917647</v>
      </c>
      <c r="J134" s="476">
        <f t="shared" si="59"/>
        <v>0</v>
      </c>
      <c r="K134" s="476"/>
      <c r="L134" s="485"/>
      <c r="M134" s="476">
        <f t="shared" ref="M134:M154" si="61">IF(L134&lt;&gt;0,+H134-L134,0)</f>
        <v>0</v>
      </c>
      <c r="N134" s="485"/>
      <c r="O134" s="476">
        <f t="shared" ref="O134:O154" si="62">IF(N134&lt;&gt;0,+I134-N134,0)</f>
        <v>0</v>
      </c>
      <c r="P134" s="476">
        <f t="shared" si="60"/>
        <v>0</v>
      </c>
    </row>
    <row r="135" spans="2:16">
      <c r="B135" s="160" t="str">
        <f t="shared" si="34"/>
        <v/>
      </c>
      <c r="C135" s="470">
        <f>IF(D93="","-",+C134+1)</f>
        <v>2042</v>
      </c>
      <c r="D135" s="345">
        <f>IF(F134+SUM(E$99:E134)=D$92,F134,D$92-SUM(E$99:E134))</f>
        <v>73779</v>
      </c>
      <c r="E135" s="484">
        <f>IF(+J96&lt;F134,J96,D135)</f>
        <v>9457</v>
      </c>
      <c r="F135" s="483">
        <f t="shared" si="57"/>
        <v>64322</v>
      </c>
      <c r="G135" s="483">
        <f t="shared" si="58"/>
        <v>69050.5</v>
      </c>
      <c r="H135" s="486">
        <f t="shared" si="55"/>
        <v>17314.449255219093</v>
      </c>
      <c r="I135" s="540">
        <f t="shared" si="56"/>
        <v>17314.449255219093</v>
      </c>
      <c r="J135" s="476">
        <f t="shared" si="59"/>
        <v>0</v>
      </c>
      <c r="K135" s="476"/>
      <c r="L135" s="485"/>
      <c r="M135" s="476">
        <f t="shared" si="61"/>
        <v>0</v>
      </c>
      <c r="N135" s="485"/>
      <c r="O135" s="476">
        <f t="shared" si="62"/>
        <v>0</v>
      </c>
      <c r="P135" s="476">
        <f t="shared" si="60"/>
        <v>0</v>
      </c>
    </row>
    <row r="136" spans="2:16">
      <c r="B136" s="160" t="str">
        <f t="shared" si="34"/>
        <v/>
      </c>
      <c r="C136" s="470">
        <f>IF(D93="","-",+C135+1)</f>
        <v>2043</v>
      </c>
      <c r="D136" s="345">
        <f>IF(F135+SUM(E$99:E135)=D$92,F135,D$92-SUM(E$99:E135))</f>
        <v>64322</v>
      </c>
      <c r="E136" s="484">
        <f>IF(+J96&lt;F135,J96,D136)</f>
        <v>9457</v>
      </c>
      <c r="F136" s="483">
        <f t="shared" si="57"/>
        <v>54865</v>
      </c>
      <c r="G136" s="483">
        <f t="shared" si="58"/>
        <v>59593.5</v>
      </c>
      <c r="H136" s="486">
        <f t="shared" si="55"/>
        <v>16238.31081152054</v>
      </c>
      <c r="I136" s="540">
        <f t="shared" si="56"/>
        <v>16238.31081152054</v>
      </c>
      <c r="J136" s="476">
        <f t="shared" si="59"/>
        <v>0</v>
      </c>
      <c r="K136" s="476"/>
      <c r="L136" s="485"/>
      <c r="M136" s="476">
        <f t="shared" si="61"/>
        <v>0</v>
      </c>
      <c r="N136" s="485"/>
      <c r="O136" s="476">
        <f t="shared" si="62"/>
        <v>0</v>
      </c>
      <c r="P136" s="476">
        <f t="shared" si="60"/>
        <v>0</v>
      </c>
    </row>
    <row r="137" spans="2:16">
      <c r="B137" s="160" t="str">
        <f t="shared" si="34"/>
        <v/>
      </c>
      <c r="C137" s="470">
        <f>IF(D93="","-",+C136+1)</f>
        <v>2044</v>
      </c>
      <c r="D137" s="345">
        <f>IF(F136+SUM(E$99:E136)=D$92,F136,D$92-SUM(E$99:E136))</f>
        <v>54865</v>
      </c>
      <c r="E137" s="484">
        <f>IF(+J96&lt;F136,J96,D137)</f>
        <v>9457</v>
      </c>
      <c r="F137" s="483">
        <f t="shared" si="57"/>
        <v>45408</v>
      </c>
      <c r="G137" s="483">
        <f t="shared" si="58"/>
        <v>50136.5</v>
      </c>
      <c r="H137" s="486">
        <f t="shared" si="55"/>
        <v>15162.172367821986</v>
      </c>
      <c r="I137" s="540">
        <f t="shared" si="56"/>
        <v>15162.172367821986</v>
      </c>
      <c r="J137" s="476">
        <f t="shared" si="59"/>
        <v>0</v>
      </c>
      <c r="K137" s="476"/>
      <c r="L137" s="485"/>
      <c r="M137" s="476">
        <f t="shared" si="61"/>
        <v>0</v>
      </c>
      <c r="N137" s="485"/>
      <c r="O137" s="476">
        <f t="shared" si="62"/>
        <v>0</v>
      </c>
      <c r="P137" s="476">
        <f t="shared" si="60"/>
        <v>0</v>
      </c>
    </row>
    <row r="138" spans="2:16">
      <c r="B138" s="160" t="str">
        <f t="shared" si="34"/>
        <v/>
      </c>
      <c r="C138" s="470">
        <f>IF(D93="","-",+C137+1)</f>
        <v>2045</v>
      </c>
      <c r="D138" s="345">
        <f>IF(F137+SUM(E$99:E137)=D$92,F137,D$92-SUM(E$99:E137))</f>
        <v>45408</v>
      </c>
      <c r="E138" s="484">
        <f>IF(+J96&lt;F137,J96,D138)</f>
        <v>9457</v>
      </c>
      <c r="F138" s="483">
        <f t="shared" si="57"/>
        <v>35951</v>
      </c>
      <c r="G138" s="483">
        <f t="shared" si="58"/>
        <v>40679.5</v>
      </c>
      <c r="H138" s="486">
        <f t="shared" si="55"/>
        <v>14086.033924123432</v>
      </c>
      <c r="I138" s="540">
        <f t="shared" si="56"/>
        <v>14086.033924123432</v>
      </c>
      <c r="J138" s="476">
        <f t="shared" si="59"/>
        <v>0</v>
      </c>
      <c r="K138" s="476"/>
      <c r="L138" s="485"/>
      <c r="M138" s="476">
        <f t="shared" si="61"/>
        <v>0</v>
      </c>
      <c r="N138" s="485"/>
      <c r="O138" s="476">
        <f t="shared" si="62"/>
        <v>0</v>
      </c>
      <c r="P138" s="476">
        <f t="shared" si="60"/>
        <v>0</v>
      </c>
    </row>
    <row r="139" spans="2:16">
      <c r="B139" s="160" t="str">
        <f t="shared" si="34"/>
        <v/>
      </c>
      <c r="C139" s="470">
        <f>IF(D93="","-",+C138+1)</f>
        <v>2046</v>
      </c>
      <c r="D139" s="345">
        <f>IF(F138+SUM(E$99:E138)=D$92,F138,D$92-SUM(E$99:E138))</f>
        <v>35951</v>
      </c>
      <c r="E139" s="484">
        <f>IF(+J96&lt;F138,J96,D139)</f>
        <v>9457</v>
      </c>
      <c r="F139" s="483">
        <f t="shared" si="57"/>
        <v>26494</v>
      </c>
      <c r="G139" s="483">
        <f t="shared" si="58"/>
        <v>31222.5</v>
      </c>
      <c r="H139" s="486">
        <f t="shared" si="55"/>
        <v>13009.895480424879</v>
      </c>
      <c r="I139" s="540">
        <f t="shared" si="56"/>
        <v>13009.895480424879</v>
      </c>
      <c r="J139" s="476">
        <f t="shared" si="59"/>
        <v>0</v>
      </c>
      <c r="K139" s="476"/>
      <c r="L139" s="485"/>
      <c r="M139" s="476">
        <f t="shared" si="61"/>
        <v>0</v>
      </c>
      <c r="N139" s="485"/>
      <c r="O139" s="476">
        <f t="shared" si="62"/>
        <v>0</v>
      </c>
      <c r="P139" s="476">
        <f t="shared" si="60"/>
        <v>0</v>
      </c>
    </row>
    <row r="140" spans="2:16">
      <c r="B140" s="160" t="str">
        <f t="shared" si="34"/>
        <v/>
      </c>
      <c r="C140" s="470">
        <f>IF(D93="","-",+C139+1)</f>
        <v>2047</v>
      </c>
      <c r="D140" s="345">
        <f>IF(F139+SUM(E$99:E139)=D$92,F139,D$92-SUM(E$99:E139))</f>
        <v>26494</v>
      </c>
      <c r="E140" s="484">
        <f>IF(+J96&lt;F139,J96,D140)</f>
        <v>9457</v>
      </c>
      <c r="F140" s="483">
        <f t="shared" si="57"/>
        <v>17037</v>
      </c>
      <c r="G140" s="483">
        <f t="shared" si="58"/>
        <v>21765.5</v>
      </c>
      <c r="H140" s="486">
        <f t="shared" si="55"/>
        <v>11933.757036726325</v>
      </c>
      <c r="I140" s="540">
        <f t="shared" si="56"/>
        <v>11933.757036726325</v>
      </c>
      <c r="J140" s="476">
        <f t="shared" si="59"/>
        <v>0</v>
      </c>
      <c r="K140" s="476"/>
      <c r="L140" s="485"/>
      <c r="M140" s="476">
        <f t="shared" si="61"/>
        <v>0</v>
      </c>
      <c r="N140" s="485"/>
      <c r="O140" s="476">
        <f t="shared" si="62"/>
        <v>0</v>
      </c>
      <c r="P140" s="476">
        <f t="shared" si="60"/>
        <v>0</v>
      </c>
    </row>
    <row r="141" spans="2:16">
      <c r="B141" s="160" t="str">
        <f t="shared" si="34"/>
        <v/>
      </c>
      <c r="C141" s="470">
        <f>IF(D93="","-",+C140+1)</f>
        <v>2048</v>
      </c>
      <c r="D141" s="345">
        <f>IF(F140+SUM(E$99:E140)=D$92,F140,D$92-SUM(E$99:E140))</f>
        <v>17037</v>
      </c>
      <c r="E141" s="484">
        <f>IF(+J96&lt;F140,J96,D141)</f>
        <v>9457</v>
      </c>
      <c r="F141" s="483">
        <f t="shared" si="57"/>
        <v>7580</v>
      </c>
      <c r="G141" s="483">
        <f t="shared" si="58"/>
        <v>12308.5</v>
      </c>
      <c r="H141" s="486">
        <f t="shared" si="55"/>
        <v>10857.618593027772</v>
      </c>
      <c r="I141" s="540">
        <f t="shared" si="56"/>
        <v>10857.618593027772</v>
      </c>
      <c r="J141" s="476">
        <f t="shared" si="59"/>
        <v>0</v>
      </c>
      <c r="K141" s="476"/>
      <c r="L141" s="485"/>
      <c r="M141" s="476">
        <f t="shared" si="61"/>
        <v>0</v>
      </c>
      <c r="N141" s="485"/>
      <c r="O141" s="476">
        <f t="shared" si="62"/>
        <v>0</v>
      </c>
      <c r="P141" s="476">
        <f t="shared" si="60"/>
        <v>0</v>
      </c>
    </row>
    <row r="142" spans="2:16">
      <c r="B142" s="160" t="str">
        <f t="shared" si="34"/>
        <v/>
      </c>
      <c r="C142" s="470">
        <f>IF(D93="","-",+C141+1)</f>
        <v>2049</v>
      </c>
      <c r="D142" s="345">
        <f>IF(F141+SUM(E$99:E141)=D$92,F141,D$92-SUM(E$99:E141))</f>
        <v>7580</v>
      </c>
      <c r="E142" s="484">
        <f>IF(+J96&lt;F141,J96,D142)</f>
        <v>7580</v>
      </c>
      <c r="F142" s="483">
        <f t="shared" si="57"/>
        <v>0</v>
      </c>
      <c r="G142" s="483">
        <f t="shared" si="58"/>
        <v>3790</v>
      </c>
      <c r="H142" s="486">
        <f t="shared" si="55"/>
        <v>8011.2746855892474</v>
      </c>
      <c r="I142" s="540">
        <f t="shared" si="56"/>
        <v>8011.2746855892474</v>
      </c>
      <c r="J142" s="476">
        <f t="shared" si="59"/>
        <v>0</v>
      </c>
      <c r="K142" s="476"/>
      <c r="L142" s="485"/>
      <c r="M142" s="476">
        <f t="shared" si="61"/>
        <v>0</v>
      </c>
      <c r="N142" s="485"/>
      <c r="O142" s="476">
        <f t="shared" si="62"/>
        <v>0</v>
      </c>
      <c r="P142" s="476">
        <f t="shared" si="60"/>
        <v>0</v>
      </c>
    </row>
    <row r="143" spans="2:16">
      <c r="B143" s="160" t="str">
        <f t="shared" si="34"/>
        <v/>
      </c>
      <c r="C143" s="470">
        <f>IF(D93="","-",+C142+1)</f>
        <v>2050</v>
      </c>
      <c r="D143" s="345">
        <f>IF(F142+SUM(E$99:E142)=D$92,F142,D$92-SUM(E$99:E142))</f>
        <v>0</v>
      </c>
      <c r="E143" s="484">
        <f>IF(+J96&lt;F142,J96,D143)</f>
        <v>0</v>
      </c>
      <c r="F143" s="483">
        <f t="shared" si="57"/>
        <v>0</v>
      </c>
      <c r="G143" s="483">
        <f t="shared" si="58"/>
        <v>0</v>
      </c>
      <c r="H143" s="486">
        <f t="shared" si="55"/>
        <v>0</v>
      </c>
      <c r="I143" s="540">
        <f t="shared" si="56"/>
        <v>0</v>
      </c>
      <c r="J143" s="476">
        <f t="shared" si="59"/>
        <v>0</v>
      </c>
      <c r="K143" s="476"/>
      <c r="L143" s="485"/>
      <c r="M143" s="476">
        <f t="shared" si="61"/>
        <v>0</v>
      </c>
      <c r="N143" s="485"/>
      <c r="O143" s="476">
        <f t="shared" si="62"/>
        <v>0</v>
      </c>
      <c r="P143" s="476">
        <f t="shared" si="60"/>
        <v>0</v>
      </c>
    </row>
    <row r="144" spans="2:16">
      <c r="B144" s="160" t="str">
        <f t="shared" si="34"/>
        <v/>
      </c>
      <c r="C144" s="470">
        <f>IF(D93="","-",+C143+1)</f>
        <v>2051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57"/>
        <v>0</v>
      </c>
      <c r="G144" s="483">
        <f t="shared" si="58"/>
        <v>0</v>
      </c>
      <c r="H144" s="486">
        <f t="shared" si="55"/>
        <v>0</v>
      </c>
      <c r="I144" s="540">
        <f t="shared" si="56"/>
        <v>0</v>
      </c>
      <c r="J144" s="476">
        <f t="shared" si="59"/>
        <v>0</v>
      </c>
      <c r="K144" s="476"/>
      <c r="L144" s="485"/>
      <c r="M144" s="476">
        <f t="shared" si="61"/>
        <v>0</v>
      </c>
      <c r="N144" s="485"/>
      <c r="O144" s="476">
        <f t="shared" si="62"/>
        <v>0</v>
      </c>
      <c r="P144" s="476">
        <f t="shared" si="60"/>
        <v>0</v>
      </c>
    </row>
    <row r="145" spans="2:16">
      <c r="B145" s="160" t="str">
        <f t="shared" si="34"/>
        <v/>
      </c>
      <c r="C145" s="470">
        <f>IF(D93="","-",+C144+1)</f>
        <v>2052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57"/>
        <v>0</v>
      </c>
      <c r="G145" s="483">
        <f t="shared" si="58"/>
        <v>0</v>
      </c>
      <c r="H145" s="486">
        <f t="shared" si="55"/>
        <v>0</v>
      </c>
      <c r="I145" s="540">
        <f t="shared" si="56"/>
        <v>0</v>
      </c>
      <c r="J145" s="476">
        <f t="shared" si="59"/>
        <v>0</v>
      </c>
      <c r="K145" s="476"/>
      <c r="L145" s="485"/>
      <c r="M145" s="476">
        <f t="shared" si="61"/>
        <v>0</v>
      </c>
      <c r="N145" s="485"/>
      <c r="O145" s="476">
        <f t="shared" si="62"/>
        <v>0</v>
      </c>
      <c r="P145" s="476">
        <f t="shared" si="60"/>
        <v>0</v>
      </c>
    </row>
    <row r="146" spans="2:16">
      <c r="B146" s="160" t="str">
        <f t="shared" si="34"/>
        <v/>
      </c>
      <c r="C146" s="470">
        <f>IF(D93="","-",+C145+1)</f>
        <v>2053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si="57"/>
        <v>0</v>
      </c>
      <c r="G146" s="483">
        <f t="shared" si="58"/>
        <v>0</v>
      </c>
      <c r="H146" s="486">
        <f t="shared" si="55"/>
        <v>0</v>
      </c>
      <c r="I146" s="540">
        <f t="shared" si="56"/>
        <v>0</v>
      </c>
      <c r="J146" s="476">
        <f t="shared" si="59"/>
        <v>0</v>
      </c>
      <c r="K146" s="476"/>
      <c r="L146" s="485"/>
      <c r="M146" s="476">
        <f t="shared" si="61"/>
        <v>0</v>
      </c>
      <c r="N146" s="485"/>
      <c r="O146" s="476">
        <f t="shared" si="62"/>
        <v>0</v>
      </c>
      <c r="P146" s="476">
        <f t="shared" si="60"/>
        <v>0</v>
      </c>
    </row>
    <row r="147" spans="2:16">
      <c r="B147" s="160" t="str">
        <f t="shared" si="34"/>
        <v/>
      </c>
      <c r="C147" s="470">
        <f>IF(D93="","-",+C146+1)</f>
        <v>2054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57"/>
        <v>0</v>
      </c>
      <c r="G147" s="483">
        <f t="shared" si="58"/>
        <v>0</v>
      </c>
      <c r="H147" s="486">
        <f t="shared" si="55"/>
        <v>0</v>
      </c>
      <c r="I147" s="540">
        <f t="shared" si="56"/>
        <v>0</v>
      </c>
      <c r="J147" s="476">
        <f t="shared" si="59"/>
        <v>0</v>
      </c>
      <c r="K147" s="476"/>
      <c r="L147" s="485"/>
      <c r="M147" s="476">
        <f t="shared" si="61"/>
        <v>0</v>
      </c>
      <c r="N147" s="485"/>
      <c r="O147" s="476">
        <f t="shared" si="62"/>
        <v>0</v>
      </c>
      <c r="P147" s="476">
        <f t="shared" si="60"/>
        <v>0</v>
      </c>
    </row>
    <row r="148" spans="2:16">
      <c r="B148" s="160" t="str">
        <f t="shared" si="34"/>
        <v/>
      </c>
      <c r="C148" s="470">
        <f>IF(D93="","-",+C147+1)</f>
        <v>2055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57"/>
        <v>0</v>
      </c>
      <c r="G148" s="483">
        <f t="shared" si="58"/>
        <v>0</v>
      </c>
      <c r="H148" s="486">
        <f t="shared" si="55"/>
        <v>0</v>
      </c>
      <c r="I148" s="540">
        <f t="shared" si="56"/>
        <v>0</v>
      </c>
      <c r="J148" s="476">
        <f t="shared" si="59"/>
        <v>0</v>
      </c>
      <c r="K148" s="476"/>
      <c r="L148" s="485"/>
      <c r="M148" s="476">
        <f t="shared" si="61"/>
        <v>0</v>
      </c>
      <c r="N148" s="485"/>
      <c r="O148" s="476">
        <f t="shared" si="62"/>
        <v>0</v>
      </c>
      <c r="P148" s="476">
        <f t="shared" si="60"/>
        <v>0</v>
      </c>
    </row>
    <row r="149" spans="2:16">
      <c r="B149" s="160" t="str">
        <f t="shared" si="34"/>
        <v/>
      </c>
      <c r="C149" s="470">
        <f>IF(D93="","-",+C148+1)</f>
        <v>2056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57"/>
        <v>0</v>
      </c>
      <c r="G149" s="483">
        <f t="shared" si="58"/>
        <v>0</v>
      </c>
      <c r="H149" s="486">
        <f t="shared" si="55"/>
        <v>0</v>
      </c>
      <c r="I149" s="540">
        <f t="shared" si="56"/>
        <v>0</v>
      </c>
      <c r="J149" s="476">
        <f t="shared" si="59"/>
        <v>0</v>
      </c>
      <c r="K149" s="476"/>
      <c r="L149" s="485"/>
      <c r="M149" s="476">
        <f t="shared" si="61"/>
        <v>0</v>
      </c>
      <c r="N149" s="485"/>
      <c r="O149" s="476">
        <f t="shared" si="62"/>
        <v>0</v>
      </c>
      <c r="P149" s="476">
        <f t="shared" si="60"/>
        <v>0</v>
      </c>
    </row>
    <row r="150" spans="2:16">
      <c r="B150" s="160" t="str">
        <f t="shared" si="34"/>
        <v/>
      </c>
      <c r="C150" s="470">
        <f>IF(D93="","-",+C149+1)</f>
        <v>2057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57"/>
        <v>0</v>
      </c>
      <c r="G150" s="483">
        <f t="shared" si="58"/>
        <v>0</v>
      </c>
      <c r="H150" s="486">
        <f t="shared" si="55"/>
        <v>0</v>
      </c>
      <c r="I150" s="540">
        <f t="shared" si="56"/>
        <v>0</v>
      </c>
      <c r="J150" s="476">
        <f t="shared" si="59"/>
        <v>0</v>
      </c>
      <c r="K150" s="476"/>
      <c r="L150" s="485"/>
      <c r="M150" s="476">
        <f t="shared" si="61"/>
        <v>0</v>
      </c>
      <c r="N150" s="485"/>
      <c r="O150" s="476">
        <f t="shared" si="62"/>
        <v>0</v>
      </c>
      <c r="P150" s="476">
        <f t="shared" si="60"/>
        <v>0</v>
      </c>
    </row>
    <row r="151" spans="2:16">
      <c r="B151" s="160" t="str">
        <f t="shared" si="34"/>
        <v/>
      </c>
      <c r="C151" s="470">
        <f>IF(D93="","-",+C150+1)</f>
        <v>2058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57"/>
        <v>0</v>
      </c>
      <c r="G151" s="483">
        <f t="shared" si="58"/>
        <v>0</v>
      </c>
      <c r="H151" s="486">
        <f t="shared" si="55"/>
        <v>0</v>
      </c>
      <c r="I151" s="540">
        <f t="shared" si="56"/>
        <v>0</v>
      </c>
      <c r="J151" s="476">
        <f t="shared" si="59"/>
        <v>0</v>
      </c>
      <c r="K151" s="476"/>
      <c r="L151" s="485"/>
      <c r="M151" s="476">
        <f t="shared" si="61"/>
        <v>0</v>
      </c>
      <c r="N151" s="485"/>
      <c r="O151" s="476">
        <f t="shared" si="62"/>
        <v>0</v>
      </c>
      <c r="P151" s="476">
        <f t="shared" si="60"/>
        <v>0</v>
      </c>
    </row>
    <row r="152" spans="2:16">
      <c r="B152" s="160" t="str">
        <f t="shared" si="34"/>
        <v/>
      </c>
      <c r="C152" s="470">
        <f>IF(D93="","-",+C151+1)</f>
        <v>2059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57"/>
        <v>0</v>
      </c>
      <c r="G152" s="483">
        <f t="shared" si="58"/>
        <v>0</v>
      </c>
      <c r="H152" s="486">
        <f t="shared" si="55"/>
        <v>0</v>
      </c>
      <c r="I152" s="540">
        <f t="shared" si="56"/>
        <v>0</v>
      </c>
      <c r="J152" s="476">
        <f t="shared" si="59"/>
        <v>0</v>
      </c>
      <c r="K152" s="476"/>
      <c r="L152" s="485"/>
      <c r="M152" s="476">
        <f t="shared" si="61"/>
        <v>0</v>
      </c>
      <c r="N152" s="485"/>
      <c r="O152" s="476">
        <f t="shared" si="62"/>
        <v>0</v>
      </c>
      <c r="P152" s="476">
        <f t="shared" si="60"/>
        <v>0</v>
      </c>
    </row>
    <row r="153" spans="2:16">
      <c r="B153" s="160" t="str">
        <f t="shared" si="34"/>
        <v/>
      </c>
      <c r="C153" s="470">
        <f>IF(D93="","-",+C152+1)</f>
        <v>2060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57"/>
        <v>0</v>
      </c>
      <c r="G153" s="483">
        <f t="shared" si="58"/>
        <v>0</v>
      </c>
      <c r="H153" s="486">
        <f t="shared" si="55"/>
        <v>0</v>
      </c>
      <c r="I153" s="540">
        <f t="shared" si="56"/>
        <v>0</v>
      </c>
      <c r="J153" s="476">
        <f t="shared" si="59"/>
        <v>0</v>
      </c>
      <c r="K153" s="476"/>
      <c r="L153" s="485"/>
      <c r="M153" s="476">
        <f t="shared" si="61"/>
        <v>0</v>
      </c>
      <c r="N153" s="485"/>
      <c r="O153" s="476">
        <f t="shared" si="62"/>
        <v>0</v>
      </c>
      <c r="P153" s="476">
        <f t="shared" si="60"/>
        <v>0</v>
      </c>
    </row>
    <row r="154" spans="2:16" ht="13.5" thickBot="1">
      <c r="B154" s="160" t="str">
        <f t="shared" si="34"/>
        <v/>
      </c>
      <c r="C154" s="487">
        <f>IF(D93="","-",+C153+1)</f>
        <v>2061</v>
      </c>
      <c r="D154" s="541">
        <f>IF(F153+SUM(E$99:E153)=D$92,F153,D$92-SUM(E$99:E153))</f>
        <v>0</v>
      </c>
      <c r="E154" s="542">
        <f>IF(+J96&lt;F153,J96,D154)</f>
        <v>0</v>
      </c>
      <c r="F154" s="488">
        <f t="shared" si="57"/>
        <v>0</v>
      </c>
      <c r="G154" s="488">
        <f t="shared" si="58"/>
        <v>0</v>
      </c>
      <c r="H154" s="490">
        <f t="shared" si="55"/>
        <v>0</v>
      </c>
      <c r="I154" s="543">
        <f t="shared" si="56"/>
        <v>0</v>
      </c>
      <c r="J154" s="493">
        <f t="shared" si="59"/>
        <v>0</v>
      </c>
      <c r="K154" s="476"/>
      <c r="L154" s="492"/>
      <c r="M154" s="493">
        <f t="shared" si="61"/>
        <v>0</v>
      </c>
      <c r="N154" s="492"/>
      <c r="O154" s="493">
        <f t="shared" si="62"/>
        <v>0</v>
      </c>
      <c r="P154" s="493">
        <f t="shared" si="60"/>
        <v>0</v>
      </c>
    </row>
    <row r="155" spans="2:16">
      <c r="C155" s="345" t="s">
        <v>77</v>
      </c>
      <c r="D155" s="346"/>
      <c r="E155" s="346">
        <f>SUM(E99:E154)</f>
        <v>387742</v>
      </c>
      <c r="F155" s="346"/>
      <c r="G155" s="346"/>
      <c r="H155" s="346">
        <f>SUM(H99:H154)</f>
        <v>1466325.8198636174</v>
      </c>
      <c r="I155" s="346">
        <f>SUM(I99:I154)</f>
        <v>1466325.8198636174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148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62" priority="1" stopIfTrue="1" operator="equal">
      <formula>$I$10</formula>
    </cfRule>
  </conditionalFormatting>
  <conditionalFormatting sqref="C99:C154">
    <cfRule type="cellIs" dxfId="61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ignoredErrors>
    <ignoredError sqref="M101 O10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4"/>
  <dimension ref="A1:P162"/>
  <sheetViews>
    <sheetView topLeftCell="A96" zoomScaleNormal="100" zoomScaleSheetLayoutView="75" workbookViewId="0">
      <selection activeCell="V52" sqref="V52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3" t="s">
        <v>147</v>
      </c>
      <c r="B1" s="231"/>
      <c r="C1" s="310"/>
      <c r="D1" s="239"/>
      <c r="E1" s="231"/>
      <c r="F1" s="337"/>
      <c r="G1" s="231"/>
      <c r="H1" s="240"/>
      <c r="J1" s="194"/>
      <c r="K1" s="414"/>
      <c r="L1" s="414"/>
      <c r="M1" s="414"/>
      <c r="P1" s="415" t="str">
        <f ca="1">"PSO Project "&amp;RIGHT(MID(CELL("filename",$A$1),FIND("]",CELL("filename",$A$1))+1,256),1)&amp;" of "&amp;COUNT('P.001:P.xyz - blank'!$P$3)-1</f>
        <v>PSO Project 6 of 33</v>
      </c>
    </row>
    <row r="2" spans="1:16" ht="18">
      <c r="B2" s="231"/>
      <c r="C2" s="231"/>
      <c r="D2" s="239"/>
      <c r="E2" s="231"/>
      <c r="F2" s="231"/>
      <c r="G2" s="231"/>
      <c r="H2" s="240"/>
      <c r="I2" s="231"/>
      <c r="J2" s="241"/>
      <c r="K2" s="231"/>
      <c r="L2" s="231"/>
      <c r="M2" s="231"/>
      <c r="N2" s="231"/>
      <c r="P2" s="416" t="s">
        <v>150</v>
      </c>
    </row>
    <row r="3" spans="1:16" ht="18.75">
      <c r="B3" s="301" t="s">
        <v>42</v>
      </c>
      <c r="C3" s="302" t="s">
        <v>43</v>
      </c>
      <c r="D3" s="239"/>
      <c r="E3" s="231"/>
      <c r="F3" s="231"/>
      <c r="G3" s="231"/>
      <c r="H3" s="240"/>
      <c r="I3" s="240"/>
      <c r="J3" s="346"/>
      <c r="K3" s="240"/>
      <c r="L3" s="240"/>
      <c r="M3" s="240"/>
      <c r="N3" s="240"/>
      <c r="O3" s="231"/>
      <c r="P3" s="547">
        <v>1</v>
      </c>
    </row>
    <row r="4" spans="1:16" ht="15.75" thickBot="1">
      <c r="C4" s="300"/>
      <c r="D4" s="239"/>
      <c r="E4" s="231"/>
      <c r="F4" s="231"/>
      <c r="G4" s="231"/>
      <c r="H4" s="240"/>
      <c r="I4" s="240"/>
      <c r="J4" s="346"/>
      <c r="K4" s="240"/>
      <c r="L4" s="240"/>
      <c r="M4" s="240"/>
      <c r="N4" s="240"/>
      <c r="O4" s="231"/>
      <c r="P4" s="231"/>
    </row>
    <row r="5" spans="1:16" ht="15">
      <c r="C5" s="418" t="s">
        <v>44</v>
      </c>
      <c r="D5" s="239"/>
      <c r="E5" s="231"/>
      <c r="F5" s="231"/>
      <c r="G5" s="419"/>
      <c r="H5" s="231" t="s">
        <v>45</v>
      </c>
      <c r="I5" s="231"/>
      <c r="J5" s="241"/>
      <c r="K5" s="420" t="s">
        <v>284</v>
      </c>
      <c r="L5" s="421"/>
      <c r="M5" s="422"/>
      <c r="N5" s="423">
        <f>VLOOKUP(I10,C17:I72,5)</f>
        <v>151239.69603131246</v>
      </c>
      <c r="P5" s="231"/>
    </row>
    <row r="6" spans="1:16" ht="15.75">
      <c r="C6" s="243"/>
      <c r="D6" s="239"/>
      <c r="E6" s="231"/>
      <c r="F6" s="231"/>
      <c r="G6" s="231"/>
      <c r="H6" s="424"/>
      <c r="I6" s="424"/>
      <c r="J6" s="425"/>
      <c r="K6" s="426" t="s">
        <v>285</v>
      </c>
      <c r="L6" s="427"/>
      <c r="M6" s="241"/>
      <c r="N6" s="428">
        <f>VLOOKUP(I10,C17:I72,6)</f>
        <v>151239.69603131246</v>
      </c>
      <c r="O6" s="231"/>
      <c r="P6" s="231"/>
    </row>
    <row r="7" spans="1:16" ht="13.5" thickBot="1">
      <c r="C7" s="429" t="s">
        <v>46</v>
      </c>
      <c r="D7" s="562" t="s">
        <v>84</v>
      </c>
      <c r="E7" s="231"/>
      <c r="F7" s="231"/>
      <c r="G7" s="231"/>
      <c r="H7" s="240"/>
      <c r="I7" s="240"/>
      <c r="J7" s="346"/>
      <c r="K7" s="431" t="s">
        <v>47</v>
      </c>
      <c r="L7" s="432"/>
      <c r="M7" s="432"/>
      <c r="N7" s="433">
        <f>+N6-N5</f>
        <v>0</v>
      </c>
      <c r="O7" s="231"/>
      <c r="P7" s="231"/>
    </row>
    <row r="8" spans="1:16" ht="13.5" thickBot="1">
      <c r="C8" s="434"/>
      <c r="D8" s="435"/>
      <c r="E8" s="436"/>
      <c r="F8" s="436"/>
      <c r="G8" s="436"/>
      <c r="H8" s="436"/>
      <c r="I8" s="436"/>
      <c r="J8" s="437"/>
      <c r="K8" s="436"/>
      <c r="L8" s="436"/>
      <c r="M8" s="436"/>
      <c r="N8" s="436"/>
      <c r="O8" s="437"/>
      <c r="P8" s="310"/>
    </row>
    <row r="9" spans="1:16" ht="13.5" thickBot="1">
      <c r="A9" s="155"/>
      <c r="C9" s="438" t="s">
        <v>48</v>
      </c>
      <c r="D9" s="439" t="s">
        <v>85</v>
      </c>
      <c r="E9" s="575" t="s">
        <v>349</v>
      </c>
      <c r="F9" s="440"/>
      <c r="G9" s="440"/>
      <c r="H9" s="440"/>
      <c r="I9" s="441"/>
      <c r="J9" s="442"/>
      <c r="O9" s="443"/>
      <c r="P9" s="241"/>
    </row>
    <row r="10" spans="1:16">
      <c r="C10" s="444" t="s">
        <v>226</v>
      </c>
      <c r="D10" s="445">
        <v>1520502</v>
      </c>
      <c r="E10" s="323" t="s">
        <v>51</v>
      </c>
      <c r="F10" s="443"/>
      <c r="G10" s="446"/>
      <c r="H10" s="446"/>
      <c r="I10" s="447">
        <f>+'PSO.WS.F.BPU.ATRR.Projected'!L19</f>
        <v>2024</v>
      </c>
      <c r="J10" s="442"/>
      <c r="K10" s="346" t="s">
        <v>52</v>
      </c>
      <c r="O10" s="241"/>
      <c r="P10" s="241"/>
    </row>
    <row r="11" spans="1:16">
      <c r="C11" s="448" t="s">
        <v>53</v>
      </c>
      <c r="D11" s="449">
        <v>2008</v>
      </c>
      <c r="E11" s="448" t="s">
        <v>54</v>
      </c>
      <c r="F11" s="446"/>
      <c r="G11" s="194"/>
      <c r="H11" s="194"/>
      <c r="I11" s="450">
        <f>IF(G5="",0,'PSO.WS.F.BPU.ATRR.Projected'!F$13)</f>
        <v>0</v>
      </c>
      <c r="J11" s="451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1"/>
      <c r="P11" s="241"/>
    </row>
    <row r="12" spans="1:16">
      <c r="C12" s="448" t="s">
        <v>55</v>
      </c>
      <c r="D12" s="445">
        <v>4</v>
      </c>
      <c r="E12" s="448" t="s">
        <v>56</v>
      </c>
      <c r="F12" s="446"/>
      <c r="G12" s="194"/>
      <c r="H12" s="194"/>
      <c r="I12" s="452">
        <f>'PSO.WS.F.BPU.ATRR.Projected'!$F$81</f>
        <v>0.11374018757958901</v>
      </c>
      <c r="J12" s="394"/>
      <c r="K12" s="148" t="s">
        <v>57</v>
      </c>
      <c r="O12" s="241"/>
      <c r="P12" s="241"/>
    </row>
    <row r="13" spans="1:16">
      <c r="C13" s="448" t="s">
        <v>58</v>
      </c>
      <c r="D13" s="450">
        <f>+'PSO.WS.F.BPU.ATRR.Projected'!F$93</f>
        <v>38</v>
      </c>
      <c r="E13" s="448" t="s">
        <v>59</v>
      </c>
      <c r="F13" s="446"/>
      <c r="G13" s="194"/>
      <c r="H13" s="194"/>
      <c r="I13" s="452">
        <f>IF(G5="",I12,'PSO.WS.F.BPU.ATRR.Projected'!$F$80)</f>
        <v>0.11374018757958901</v>
      </c>
      <c r="J13" s="394"/>
      <c r="K13" s="346" t="s">
        <v>60</v>
      </c>
      <c r="L13" s="293"/>
      <c r="M13" s="293"/>
      <c r="N13" s="293"/>
      <c r="O13" s="241"/>
      <c r="P13" s="241"/>
    </row>
    <row r="14" spans="1:16" ht="13.5" thickBot="1">
      <c r="C14" s="448" t="s">
        <v>61</v>
      </c>
      <c r="D14" s="449" t="s">
        <v>62</v>
      </c>
      <c r="E14" s="241" t="s">
        <v>63</v>
      </c>
      <c r="F14" s="446"/>
      <c r="G14" s="194"/>
      <c r="H14" s="194"/>
      <c r="I14" s="453">
        <f>IF(D10=0,0,D10/D13)</f>
        <v>40013.210526315786</v>
      </c>
      <c r="J14" s="346"/>
      <c r="K14" s="346"/>
      <c r="L14" s="346"/>
      <c r="M14" s="346"/>
      <c r="N14" s="346"/>
      <c r="O14" s="241"/>
      <c r="P14" s="241"/>
    </row>
    <row r="15" spans="1:16" ht="38.25">
      <c r="C15" s="454" t="s">
        <v>50</v>
      </c>
      <c r="D15" s="455" t="s">
        <v>64</v>
      </c>
      <c r="E15" s="455" t="s">
        <v>65</v>
      </c>
      <c r="F15" s="455" t="s">
        <v>66</v>
      </c>
      <c r="G15" s="456" t="s">
        <v>286</v>
      </c>
      <c r="H15" s="457" t="s">
        <v>287</v>
      </c>
      <c r="I15" s="454" t="s">
        <v>67</v>
      </c>
      <c r="J15" s="458"/>
      <c r="K15" s="459" t="s">
        <v>205</v>
      </c>
      <c r="L15" s="460" t="s">
        <v>68</v>
      </c>
      <c r="M15" s="459" t="s">
        <v>205</v>
      </c>
      <c r="N15" s="460" t="s">
        <v>68</v>
      </c>
      <c r="O15" s="461" t="s">
        <v>69</v>
      </c>
      <c r="P15" s="241"/>
    </row>
    <row r="16" spans="1:16" ht="13.5" thickBot="1">
      <c r="C16" s="462" t="s">
        <v>70</v>
      </c>
      <c r="D16" s="462" t="s">
        <v>71</v>
      </c>
      <c r="E16" s="462" t="s">
        <v>72</v>
      </c>
      <c r="F16" s="462" t="s">
        <v>71</v>
      </c>
      <c r="G16" s="463" t="s">
        <v>73</v>
      </c>
      <c r="H16" s="464" t="s">
        <v>74</v>
      </c>
      <c r="I16" s="465" t="s">
        <v>104</v>
      </c>
      <c r="J16" s="466" t="s">
        <v>75</v>
      </c>
      <c r="K16" s="467" t="s">
        <v>76</v>
      </c>
      <c r="L16" s="468" t="s">
        <v>76</v>
      </c>
      <c r="M16" s="467" t="s">
        <v>105</v>
      </c>
      <c r="N16" s="469" t="s">
        <v>105</v>
      </c>
      <c r="O16" s="467" t="s">
        <v>105</v>
      </c>
      <c r="P16" s="241"/>
    </row>
    <row r="17" spans="2:16">
      <c r="B17" s="160"/>
      <c r="C17" s="470">
        <f>IF(D11= "","-",D11)</f>
        <v>2008</v>
      </c>
      <c r="D17" s="471">
        <v>1520473</v>
      </c>
      <c r="E17" s="472">
        <v>19125</v>
      </c>
      <c r="F17" s="471">
        <v>1501348</v>
      </c>
      <c r="G17" s="472">
        <v>0</v>
      </c>
      <c r="H17" s="479">
        <v>0</v>
      </c>
      <c r="I17" s="473">
        <f t="shared" ref="I17:I48" si="0">H17-G17</f>
        <v>0</v>
      </c>
      <c r="J17" s="473"/>
      <c r="K17" s="552">
        <v>0</v>
      </c>
      <c r="L17" s="475">
        <f t="shared" ref="L17:L48" si="1">IF(K17&lt;&gt;0,+G17-K17,0)</f>
        <v>0</v>
      </c>
      <c r="M17" s="552">
        <v>0</v>
      </c>
      <c r="N17" s="475">
        <f t="shared" ref="N17:N48" si="2">IF(M17&lt;&gt;0,+H17-M17,0)</f>
        <v>0</v>
      </c>
      <c r="O17" s="476">
        <f t="shared" ref="O17:O48" si="3">+N17-L17</f>
        <v>0</v>
      </c>
      <c r="P17" s="241"/>
    </row>
    <row r="18" spans="2:16">
      <c r="B18" s="160" t="str">
        <f>IF(D18=F17,"","IU")</f>
        <v/>
      </c>
      <c r="C18" s="470">
        <f>IF(D11="","-",+C17+1)</f>
        <v>2009</v>
      </c>
      <c r="D18" s="477">
        <v>1501348</v>
      </c>
      <c r="E18" s="478">
        <v>28688</v>
      </c>
      <c r="F18" s="477">
        <v>1472660</v>
      </c>
      <c r="G18" s="478">
        <v>254309</v>
      </c>
      <c r="H18" s="479">
        <v>254309</v>
      </c>
      <c r="I18" s="473">
        <f t="shared" si="0"/>
        <v>0</v>
      </c>
      <c r="J18" s="473"/>
      <c r="K18" s="474">
        <v>254309</v>
      </c>
      <c r="L18" s="476">
        <f t="shared" si="1"/>
        <v>0</v>
      </c>
      <c r="M18" s="474">
        <v>254309</v>
      </c>
      <c r="N18" s="476">
        <f t="shared" si="2"/>
        <v>0</v>
      </c>
      <c r="O18" s="476">
        <f t="shared" si="3"/>
        <v>0</v>
      </c>
      <c r="P18" s="241"/>
    </row>
    <row r="19" spans="2:16">
      <c r="B19" s="160" t="str">
        <f>IF(D19=F18,"","IU")</f>
        <v>IU</v>
      </c>
      <c r="C19" s="470">
        <f>IF(D11="","-",+C18+1)</f>
        <v>2010</v>
      </c>
      <c r="D19" s="477">
        <v>1472689</v>
      </c>
      <c r="E19" s="478">
        <v>27151.821428571428</v>
      </c>
      <c r="F19" s="477">
        <v>1445537.1785714286</v>
      </c>
      <c r="G19" s="478">
        <v>235737.79751815079</v>
      </c>
      <c r="H19" s="479">
        <v>235737.79751815079</v>
      </c>
      <c r="I19" s="473">
        <f t="shared" si="0"/>
        <v>0</v>
      </c>
      <c r="J19" s="473"/>
      <c r="K19" s="538">
        <f t="shared" ref="K19:K24" si="4">G19</f>
        <v>235737.79751815079</v>
      </c>
      <c r="L19" s="539">
        <f t="shared" si="1"/>
        <v>0</v>
      </c>
      <c r="M19" s="538">
        <f t="shared" ref="M19:M24" si="5">H19</f>
        <v>235737.79751815079</v>
      </c>
      <c r="N19" s="476">
        <f t="shared" si="2"/>
        <v>0</v>
      </c>
      <c r="O19" s="476">
        <f t="shared" si="3"/>
        <v>0</v>
      </c>
      <c r="P19" s="241"/>
    </row>
    <row r="20" spans="2:16">
      <c r="B20" s="160" t="str">
        <f t="shared" ref="B20:B72" si="6">IF(D20=F19,"","IU")</f>
        <v/>
      </c>
      <c r="C20" s="470">
        <f>IF(D11="","-",+C19+1)</f>
        <v>2011</v>
      </c>
      <c r="D20" s="477">
        <v>1445537.1785714286</v>
      </c>
      <c r="E20" s="478">
        <v>29813.764705882353</v>
      </c>
      <c r="F20" s="477">
        <v>1415723.4138655462</v>
      </c>
      <c r="G20" s="478">
        <v>251435.83921239444</v>
      </c>
      <c r="H20" s="479">
        <v>251435.83921239444</v>
      </c>
      <c r="I20" s="473">
        <f t="shared" si="0"/>
        <v>0</v>
      </c>
      <c r="J20" s="473"/>
      <c r="K20" s="474">
        <f t="shared" si="4"/>
        <v>251435.83921239444</v>
      </c>
      <c r="L20" s="548">
        <f t="shared" si="1"/>
        <v>0</v>
      </c>
      <c r="M20" s="474">
        <f t="shared" si="5"/>
        <v>251435.83921239444</v>
      </c>
      <c r="N20" s="476">
        <f t="shared" si="2"/>
        <v>0</v>
      </c>
      <c r="O20" s="476">
        <f t="shared" si="3"/>
        <v>0</v>
      </c>
      <c r="P20" s="241"/>
    </row>
    <row r="21" spans="2:16">
      <c r="B21" s="160" t="str">
        <f t="shared" si="6"/>
        <v/>
      </c>
      <c r="C21" s="470">
        <f>IF(D11="","-",+C20+1)</f>
        <v>2012</v>
      </c>
      <c r="D21" s="477">
        <v>1415723.4138655462</v>
      </c>
      <c r="E21" s="478">
        <v>29240.423076923078</v>
      </c>
      <c r="F21" s="477">
        <v>1386482.9907886232</v>
      </c>
      <c r="G21" s="478">
        <v>222248.1918516063</v>
      </c>
      <c r="H21" s="479">
        <v>222248.1918516063</v>
      </c>
      <c r="I21" s="473">
        <f t="shared" si="0"/>
        <v>0</v>
      </c>
      <c r="J21" s="473"/>
      <c r="K21" s="474">
        <f t="shared" si="4"/>
        <v>222248.1918516063</v>
      </c>
      <c r="L21" s="548">
        <f t="shared" si="1"/>
        <v>0</v>
      </c>
      <c r="M21" s="474">
        <f t="shared" si="5"/>
        <v>222248.1918516063</v>
      </c>
      <c r="N21" s="476">
        <f t="shared" si="2"/>
        <v>0</v>
      </c>
      <c r="O21" s="476">
        <f t="shared" si="3"/>
        <v>0</v>
      </c>
      <c r="P21" s="241"/>
    </row>
    <row r="22" spans="2:16">
      <c r="B22" s="160" t="str">
        <f t="shared" si="6"/>
        <v/>
      </c>
      <c r="C22" s="470">
        <f>IF(D11="","-",+C21+1)</f>
        <v>2013</v>
      </c>
      <c r="D22" s="477">
        <v>1386482.9907886232</v>
      </c>
      <c r="E22" s="478">
        <v>29240.423076923078</v>
      </c>
      <c r="F22" s="477">
        <v>1357242.5677117002</v>
      </c>
      <c r="G22" s="478">
        <v>223063.83719618269</v>
      </c>
      <c r="H22" s="479">
        <v>223063.83719618269</v>
      </c>
      <c r="I22" s="473">
        <v>0</v>
      </c>
      <c r="J22" s="473"/>
      <c r="K22" s="474">
        <f t="shared" si="4"/>
        <v>223063.83719618269</v>
      </c>
      <c r="L22" s="548">
        <f t="shared" ref="L22:L27" si="7">IF(K22&lt;&gt;0,+G22-K22,0)</f>
        <v>0</v>
      </c>
      <c r="M22" s="474">
        <f t="shared" si="5"/>
        <v>223063.83719618269</v>
      </c>
      <c r="N22" s="476">
        <f t="shared" ref="N22:N27" si="8">IF(M22&lt;&gt;0,+H22-M22,0)</f>
        <v>0</v>
      </c>
      <c r="O22" s="476">
        <f t="shared" ref="O22:O27" si="9">+N22-L22</f>
        <v>0</v>
      </c>
      <c r="P22" s="241"/>
    </row>
    <row r="23" spans="2:16">
      <c r="B23" s="160" t="str">
        <f t="shared" si="6"/>
        <v/>
      </c>
      <c r="C23" s="470">
        <f>IF(D11="","-",+C22+1)</f>
        <v>2014</v>
      </c>
      <c r="D23" s="477">
        <v>1357242.5677117002</v>
      </c>
      <c r="E23" s="478">
        <v>29240.423076923078</v>
      </c>
      <c r="F23" s="477">
        <v>1328002.1446347772</v>
      </c>
      <c r="G23" s="478">
        <v>212051.56179808528</v>
      </c>
      <c r="H23" s="479">
        <v>212051.56179808528</v>
      </c>
      <c r="I23" s="473">
        <v>0</v>
      </c>
      <c r="J23" s="473"/>
      <c r="K23" s="474">
        <f t="shared" si="4"/>
        <v>212051.56179808528</v>
      </c>
      <c r="L23" s="548">
        <f t="shared" si="7"/>
        <v>0</v>
      </c>
      <c r="M23" s="474">
        <f t="shared" si="5"/>
        <v>212051.56179808528</v>
      </c>
      <c r="N23" s="476">
        <f t="shared" si="8"/>
        <v>0</v>
      </c>
      <c r="O23" s="476">
        <f t="shared" si="9"/>
        <v>0</v>
      </c>
      <c r="P23" s="241"/>
    </row>
    <row r="24" spans="2:16">
      <c r="B24" s="160" t="str">
        <f t="shared" si="6"/>
        <v/>
      </c>
      <c r="C24" s="470">
        <f>IF(D11="","-",+C23+1)</f>
        <v>2015</v>
      </c>
      <c r="D24" s="477">
        <v>1328002.1446347772</v>
      </c>
      <c r="E24" s="478">
        <v>29240.423076923078</v>
      </c>
      <c r="F24" s="477">
        <v>1298761.7215578542</v>
      </c>
      <c r="G24" s="478">
        <v>208302.85337289202</v>
      </c>
      <c r="H24" s="479">
        <v>208302.85337289202</v>
      </c>
      <c r="I24" s="473">
        <v>0</v>
      </c>
      <c r="J24" s="473"/>
      <c r="K24" s="474">
        <f t="shared" si="4"/>
        <v>208302.85337289202</v>
      </c>
      <c r="L24" s="548">
        <f t="shared" si="7"/>
        <v>0</v>
      </c>
      <c r="M24" s="474">
        <f t="shared" si="5"/>
        <v>208302.85337289202</v>
      </c>
      <c r="N24" s="476">
        <f t="shared" si="8"/>
        <v>0</v>
      </c>
      <c r="O24" s="476">
        <f t="shared" si="9"/>
        <v>0</v>
      </c>
      <c r="P24" s="241"/>
    </row>
    <row r="25" spans="2:16">
      <c r="B25" s="160" t="str">
        <f t="shared" si="6"/>
        <v/>
      </c>
      <c r="C25" s="470">
        <f>IF(D11="","-",+C24+1)</f>
        <v>2016</v>
      </c>
      <c r="D25" s="477">
        <v>1298761.7215578542</v>
      </c>
      <c r="E25" s="478">
        <v>29240.423076923078</v>
      </c>
      <c r="F25" s="477">
        <v>1269521.2984809312</v>
      </c>
      <c r="G25" s="478">
        <v>195750.37197477801</v>
      </c>
      <c r="H25" s="479">
        <v>195750.37197477801</v>
      </c>
      <c r="I25" s="473">
        <f t="shared" si="0"/>
        <v>0</v>
      </c>
      <c r="J25" s="473"/>
      <c r="K25" s="474">
        <f t="shared" ref="K25:K30" si="10">G25</f>
        <v>195750.37197477801</v>
      </c>
      <c r="L25" s="548">
        <f t="shared" si="7"/>
        <v>0</v>
      </c>
      <c r="M25" s="474">
        <f t="shared" ref="M25:M30" si="11">H25</f>
        <v>195750.37197477801</v>
      </c>
      <c r="N25" s="476">
        <f t="shared" si="8"/>
        <v>0</v>
      </c>
      <c r="O25" s="476">
        <f t="shared" si="9"/>
        <v>0</v>
      </c>
      <c r="P25" s="241"/>
    </row>
    <row r="26" spans="2:16">
      <c r="B26" s="160" t="str">
        <f t="shared" si="6"/>
        <v/>
      </c>
      <c r="C26" s="470">
        <f>IF(D11="","-",+C25+1)</f>
        <v>2017</v>
      </c>
      <c r="D26" s="477">
        <v>1269521.2984809312</v>
      </c>
      <c r="E26" s="478">
        <v>33054.391304347824</v>
      </c>
      <c r="F26" s="477">
        <v>1236466.9071765833</v>
      </c>
      <c r="G26" s="478">
        <v>190407.97943741584</v>
      </c>
      <c r="H26" s="479">
        <v>190407.97943741584</v>
      </c>
      <c r="I26" s="473">
        <f t="shared" si="0"/>
        <v>0</v>
      </c>
      <c r="J26" s="473"/>
      <c r="K26" s="474">
        <f t="shared" si="10"/>
        <v>190407.97943741584</v>
      </c>
      <c r="L26" s="548">
        <f t="shared" si="7"/>
        <v>0</v>
      </c>
      <c r="M26" s="474">
        <f t="shared" si="11"/>
        <v>190407.97943741584</v>
      </c>
      <c r="N26" s="476">
        <f t="shared" si="8"/>
        <v>0</v>
      </c>
      <c r="O26" s="476">
        <f t="shared" si="9"/>
        <v>0</v>
      </c>
      <c r="P26" s="241"/>
    </row>
    <row r="27" spans="2:16">
      <c r="B27" s="160" t="str">
        <f t="shared" si="6"/>
        <v/>
      </c>
      <c r="C27" s="470">
        <f>IF(D11="","-",+C26+1)</f>
        <v>2018</v>
      </c>
      <c r="D27" s="477">
        <v>1236466.9071765833</v>
      </c>
      <c r="E27" s="478">
        <v>33788.933333333334</v>
      </c>
      <c r="F27" s="477">
        <v>1202677.97384325</v>
      </c>
      <c r="G27" s="478">
        <v>179843.63692519162</v>
      </c>
      <c r="H27" s="479">
        <v>179843.63692519162</v>
      </c>
      <c r="I27" s="473">
        <f t="shared" si="0"/>
        <v>0</v>
      </c>
      <c r="J27" s="473"/>
      <c r="K27" s="474">
        <f t="shared" si="10"/>
        <v>179843.63692519162</v>
      </c>
      <c r="L27" s="548">
        <f t="shared" si="7"/>
        <v>0</v>
      </c>
      <c r="M27" s="474">
        <f t="shared" si="11"/>
        <v>179843.63692519162</v>
      </c>
      <c r="N27" s="476">
        <f t="shared" si="8"/>
        <v>0</v>
      </c>
      <c r="O27" s="476">
        <f t="shared" si="9"/>
        <v>0</v>
      </c>
      <c r="P27" s="241"/>
    </row>
    <row r="28" spans="2:16">
      <c r="B28" s="160" t="str">
        <f t="shared" si="6"/>
        <v/>
      </c>
      <c r="C28" s="470">
        <f>IF(D11="","-",+C27+1)</f>
        <v>2019</v>
      </c>
      <c r="D28" s="477">
        <v>1202677.97384325</v>
      </c>
      <c r="E28" s="478">
        <v>38012.550000000003</v>
      </c>
      <c r="F28" s="477">
        <v>1164665.4238432499</v>
      </c>
      <c r="G28" s="478">
        <v>170177.34445508715</v>
      </c>
      <c r="H28" s="479">
        <v>170177.34445508715</v>
      </c>
      <c r="I28" s="473">
        <f t="shared" si="0"/>
        <v>0</v>
      </c>
      <c r="J28" s="473"/>
      <c r="K28" s="474">
        <f t="shared" si="10"/>
        <v>170177.34445508715</v>
      </c>
      <c r="L28" s="548">
        <f t="shared" ref="L28" si="12">IF(K28&lt;&gt;0,+G28-K28,0)</f>
        <v>0</v>
      </c>
      <c r="M28" s="474">
        <f t="shared" si="11"/>
        <v>170177.34445508715</v>
      </c>
      <c r="N28" s="476">
        <f t="shared" ref="N28" si="13">IF(M28&lt;&gt;0,+H28-M28,0)</f>
        <v>0</v>
      </c>
      <c r="O28" s="476">
        <f t="shared" ref="O28" si="14">+N28-L28</f>
        <v>0</v>
      </c>
      <c r="P28" s="241"/>
    </row>
    <row r="29" spans="2:16">
      <c r="B29" s="160" t="str">
        <f t="shared" si="6"/>
        <v>IU</v>
      </c>
      <c r="C29" s="470">
        <f>IF(D11="","-",+C28+1)</f>
        <v>2020</v>
      </c>
      <c r="D29" s="477">
        <v>1168889.0405099166</v>
      </c>
      <c r="E29" s="478">
        <v>36202.428571428572</v>
      </c>
      <c r="F29" s="477">
        <v>1132686.611938488</v>
      </c>
      <c r="G29" s="478">
        <v>160493.01101346352</v>
      </c>
      <c r="H29" s="479">
        <v>160493.01101346352</v>
      </c>
      <c r="I29" s="473">
        <f t="shared" si="0"/>
        <v>0</v>
      </c>
      <c r="J29" s="473"/>
      <c r="K29" s="474">
        <f t="shared" si="10"/>
        <v>160493.01101346352</v>
      </c>
      <c r="L29" s="548">
        <f t="shared" ref="L29" si="15">IF(K29&lt;&gt;0,+G29-K29,0)</f>
        <v>0</v>
      </c>
      <c r="M29" s="474">
        <f t="shared" si="11"/>
        <v>160493.01101346352</v>
      </c>
      <c r="N29" s="476">
        <f t="shared" si="2"/>
        <v>0</v>
      </c>
      <c r="O29" s="476">
        <f t="shared" si="3"/>
        <v>0</v>
      </c>
      <c r="P29" s="241"/>
    </row>
    <row r="30" spans="2:16">
      <c r="B30" s="160" t="str">
        <f t="shared" si="6"/>
        <v>IU</v>
      </c>
      <c r="C30" s="470">
        <f>IF(D11="","-",+C29+1)</f>
        <v>2021</v>
      </c>
      <c r="D30" s="477">
        <v>1128462.995271821</v>
      </c>
      <c r="E30" s="478">
        <v>35360.511627906977</v>
      </c>
      <c r="F30" s="477">
        <v>1093102.4836439141</v>
      </c>
      <c r="G30" s="478">
        <v>153220.62710843381</v>
      </c>
      <c r="H30" s="479">
        <v>153220.62710843381</v>
      </c>
      <c r="I30" s="473">
        <f t="shared" si="0"/>
        <v>0</v>
      </c>
      <c r="J30" s="473"/>
      <c r="K30" s="474">
        <f t="shared" si="10"/>
        <v>153220.62710843381</v>
      </c>
      <c r="L30" s="548">
        <f t="shared" ref="L30" si="16">IF(K30&lt;&gt;0,+G30-K30,0)</f>
        <v>0</v>
      </c>
      <c r="M30" s="474">
        <f t="shared" si="11"/>
        <v>153220.62710843381</v>
      </c>
      <c r="N30" s="476">
        <f t="shared" si="2"/>
        <v>0</v>
      </c>
      <c r="O30" s="476">
        <f t="shared" si="3"/>
        <v>0</v>
      </c>
      <c r="P30" s="241"/>
    </row>
    <row r="31" spans="2:16">
      <c r="B31" s="160" t="str">
        <f t="shared" si="6"/>
        <v/>
      </c>
      <c r="C31" s="470">
        <f>IF(D11="","-",+C30+1)</f>
        <v>2022</v>
      </c>
      <c r="D31" s="477">
        <v>1093102.4836439141</v>
      </c>
      <c r="E31" s="478">
        <v>36202.428571428572</v>
      </c>
      <c r="F31" s="477">
        <v>1056900.0550724855</v>
      </c>
      <c r="G31" s="478">
        <v>150148.14020254629</v>
      </c>
      <c r="H31" s="479">
        <v>150148.14020254629</v>
      </c>
      <c r="I31" s="473">
        <f t="shared" si="0"/>
        <v>0</v>
      </c>
      <c r="J31" s="473"/>
      <c r="K31" s="474">
        <f t="shared" ref="K31" si="17">G31</f>
        <v>150148.14020254629</v>
      </c>
      <c r="L31" s="548">
        <f t="shared" ref="L31" si="18">IF(K31&lt;&gt;0,+G31-K31,0)</f>
        <v>0</v>
      </c>
      <c r="M31" s="474">
        <f t="shared" ref="M31" si="19">H31</f>
        <v>150148.14020254629</v>
      </c>
      <c r="N31" s="476">
        <f t="shared" si="2"/>
        <v>0</v>
      </c>
      <c r="O31" s="476">
        <f t="shared" si="3"/>
        <v>0</v>
      </c>
      <c r="P31" s="241"/>
    </row>
    <row r="32" spans="2:16">
      <c r="B32" s="160" t="str">
        <f t="shared" si="6"/>
        <v/>
      </c>
      <c r="C32" s="470">
        <f>IF(D11="","-",+C31+1)</f>
        <v>2023</v>
      </c>
      <c r="D32" s="477">
        <v>1056900.0550724855</v>
      </c>
      <c r="E32" s="478">
        <v>38987.230769230766</v>
      </c>
      <c r="F32" s="477">
        <v>1017912.8243032547</v>
      </c>
      <c r="G32" s="478">
        <v>160484.23733816287</v>
      </c>
      <c r="H32" s="479">
        <v>160484.23733816287</v>
      </c>
      <c r="I32" s="473">
        <f t="shared" si="0"/>
        <v>0</v>
      </c>
      <c r="J32" s="473"/>
      <c r="K32" s="474">
        <f t="shared" ref="K32" si="20">G32</f>
        <v>160484.23733816287</v>
      </c>
      <c r="L32" s="548">
        <f t="shared" ref="L32" si="21">IF(K32&lt;&gt;0,+G32-K32,0)</f>
        <v>0</v>
      </c>
      <c r="M32" s="474">
        <f t="shared" ref="M32" si="22">H32</f>
        <v>160484.23733816287</v>
      </c>
      <c r="N32" s="476">
        <f t="shared" ref="N32" si="23">IF(M32&lt;&gt;0,+H32-M32,0)</f>
        <v>0</v>
      </c>
      <c r="O32" s="476">
        <f t="shared" ref="O32" si="24">+N32-L32</f>
        <v>0</v>
      </c>
      <c r="P32" s="241"/>
    </row>
    <row r="33" spans="2:16">
      <c r="B33" s="160" t="str">
        <f t="shared" si="6"/>
        <v/>
      </c>
      <c r="C33" s="631">
        <f>IF(D11="","-",+C32+1)</f>
        <v>2024</v>
      </c>
      <c r="D33" s="483">
        <f>IF(F32+SUM(E$17:E32)=D$10,F32,D$10-SUM(E$17:E32))</f>
        <v>1017912.8243032547</v>
      </c>
      <c r="E33" s="482">
        <f>IF(+I14&lt;F32,I14,D33)</f>
        <v>40013.210526315786</v>
      </c>
      <c r="F33" s="483">
        <f t="shared" ref="F33:F48" si="25">+D33-E33</f>
        <v>977899.61377693899</v>
      </c>
      <c r="G33" s="484">
        <f t="shared" ref="G33:G72" si="26">+I$12*F33+E33</f>
        <v>151239.69603131246</v>
      </c>
      <c r="H33" s="453">
        <f t="shared" ref="H33:H72" si="27">+I$13*F33+E33</f>
        <v>151239.69603131246</v>
      </c>
      <c r="I33" s="473">
        <f t="shared" si="0"/>
        <v>0</v>
      </c>
      <c r="J33" s="473"/>
      <c r="K33" s="485"/>
      <c r="L33" s="476">
        <f t="shared" si="1"/>
        <v>0</v>
      </c>
      <c r="M33" s="485"/>
      <c r="N33" s="476">
        <f t="shared" si="2"/>
        <v>0</v>
      </c>
      <c r="O33" s="476">
        <f t="shared" si="3"/>
        <v>0</v>
      </c>
      <c r="P33" s="241"/>
    </row>
    <row r="34" spans="2:16">
      <c r="B34" s="160" t="str">
        <f t="shared" si="6"/>
        <v/>
      </c>
      <c r="C34" s="470">
        <f>IF(D11="","-",+C33+1)</f>
        <v>2025</v>
      </c>
      <c r="D34" s="483">
        <f>IF(F33+SUM(E$17:E33)=D$10,F33,D$10-SUM(E$17:E33))</f>
        <v>977899.61377693899</v>
      </c>
      <c r="E34" s="482">
        <f>IF(+I14&lt;F33,I14,D34)</f>
        <v>40013.210526315786</v>
      </c>
      <c r="F34" s="483">
        <f t="shared" si="25"/>
        <v>937886.40325062326</v>
      </c>
      <c r="G34" s="484">
        <f t="shared" si="26"/>
        <v>146688.58596038772</v>
      </c>
      <c r="H34" s="453">
        <f t="shared" si="27"/>
        <v>146688.58596038772</v>
      </c>
      <c r="I34" s="473">
        <f t="shared" si="0"/>
        <v>0</v>
      </c>
      <c r="J34" s="473"/>
      <c r="K34" s="485"/>
      <c r="L34" s="476">
        <f t="shared" si="1"/>
        <v>0</v>
      </c>
      <c r="M34" s="485"/>
      <c r="N34" s="476">
        <f t="shared" si="2"/>
        <v>0</v>
      </c>
      <c r="O34" s="476">
        <f t="shared" si="3"/>
        <v>0</v>
      </c>
      <c r="P34" s="241"/>
    </row>
    <row r="35" spans="2:16">
      <c r="B35" s="160" t="str">
        <f t="shared" si="6"/>
        <v/>
      </c>
      <c r="C35" s="470">
        <f>IF(D11="","-",+C34+1)</f>
        <v>2026</v>
      </c>
      <c r="D35" s="483">
        <f>IF(F34+SUM(E$17:E34)=D$10,F34,D$10-SUM(E$17:E34))</f>
        <v>937886.40325062326</v>
      </c>
      <c r="E35" s="482">
        <f>IF(+I14&lt;F34,I14,D35)</f>
        <v>40013.210526315786</v>
      </c>
      <c r="F35" s="483">
        <f t="shared" si="25"/>
        <v>897873.19272430753</v>
      </c>
      <c r="G35" s="484">
        <f t="shared" si="26"/>
        <v>142137.47588946298</v>
      </c>
      <c r="H35" s="453">
        <f t="shared" si="27"/>
        <v>142137.47588946298</v>
      </c>
      <c r="I35" s="473">
        <f t="shared" si="0"/>
        <v>0</v>
      </c>
      <c r="J35" s="473"/>
      <c r="K35" s="485"/>
      <c r="L35" s="476">
        <f t="shared" si="1"/>
        <v>0</v>
      </c>
      <c r="M35" s="485"/>
      <c r="N35" s="476">
        <f t="shared" si="2"/>
        <v>0</v>
      </c>
      <c r="O35" s="476">
        <f t="shared" si="3"/>
        <v>0</v>
      </c>
      <c r="P35" s="241"/>
    </row>
    <row r="36" spans="2:16">
      <c r="B36" s="160" t="str">
        <f t="shared" si="6"/>
        <v/>
      </c>
      <c r="C36" s="470">
        <f>IF(D11="","-",+C35+1)</f>
        <v>2027</v>
      </c>
      <c r="D36" s="483">
        <f>IF(F35+SUM(E$17:E35)=D$10,F35,D$10-SUM(E$17:E35))</f>
        <v>897873.19272430753</v>
      </c>
      <c r="E36" s="482">
        <f>IF(+I14&lt;F35,I14,D36)</f>
        <v>40013.210526315786</v>
      </c>
      <c r="F36" s="483">
        <f t="shared" si="25"/>
        <v>857859.98219799181</v>
      </c>
      <c r="G36" s="484">
        <f t="shared" si="26"/>
        <v>137586.36581853827</v>
      </c>
      <c r="H36" s="453">
        <f t="shared" si="27"/>
        <v>137586.36581853827</v>
      </c>
      <c r="I36" s="473">
        <f t="shared" si="0"/>
        <v>0</v>
      </c>
      <c r="J36" s="473"/>
      <c r="K36" s="485"/>
      <c r="L36" s="476">
        <f t="shared" si="1"/>
        <v>0</v>
      </c>
      <c r="M36" s="485"/>
      <c r="N36" s="476">
        <f t="shared" si="2"/>
        <v>0</v>
      </c>
      <c r="O36" s="476">
        <f t="shared" si="3"/>
        <v>0</v>
      </c>
      <c r="P36" s="241"/>
    </row>
    <row r="37" spans="2:16">
      <c r="B37" s="160" t="str">
        <f t="shared" si="6"/>
        <v/>
      </c>
      <c r="C37" s="470">
        <f>IF(D11="","-",+C36+1)</f>
        <v>2028</v>
      </c>
      <c r="D37" s="483">
        <f>IF(F36+SUM(E$17:E36)=D$10,F36,D$10-SUM(E$17:E36))</f>
        <v>857859.98219799181</v>
      </c>
      <c r="E37" s="482">
        <f>IF(+I14&lt;F36,I14,D37)</f>
        <v>40013.210526315786</v>
      </c>
      <c r="F37" s="483">
        <f t="shared" si="25"/>
        <v>817846.77167167608</v>
      </c>
      <c r="G37" s="484">
        <f t="shared" si="26"/>
        <v>133035.25574761353</v>
      </c>
      <c r="H37" s="453">
        <f t="shared" si="27"/>
        <v>133035.25574761353</v>
      </c>
      <c r="I37" s="473">
        <f t="shared" si="0"/>
        <v>0</v>
      </c>
      <c r="J37" s="473"/>
      <c r="K37" s="485"/>
      <c r="L37" s="476">
        <f t="shared" si="1"/>
        <v>0</v>
      </c>
      <c r="M37" s="485"/>
      <c r="N37" s="476">
        <f t="shared" si="2"/>
        <v>0</v>
      </c>
      <c r="O37" s="476">
        <f t="shared" si="3"/>
        <v>0</v>
      </c>
      <c r="P37" s="241"/>
    </row>
    <row r="38" spans="2:16">
      <c r="B38" s="160" t="str">
        <f t="shared" si="6"/>
        <v/>
      </c>
      <c r="C38" s="470">
        <f>IF(D11="","-",+C37+1)</f>
        <v>2029</v>
      </c>
      <c r="D38" s="483">
        <f>IF(F37+SUM(E$17:E37)=D$10,F37,D$10-SUM(E$17:E37))</f>
        <v>817846.77167167608</v>
      </c>
      <c r="E38" s="482">
        <f>IF(+I14&lt;F37,I14,D38)</f>
        <v>40013.210526315786</v>
      </c>
      <c r="F38" s="483">
        <f t="shared" si="25"/>
        <v>777833.56114536035</v>
      </c>
      <c r="G38" s="484">
        <f t="shared" si="26"/>
        <v>128484.14567668879</v>
      </c>
      <c r="H38" s="453">
        <f t="shared" si="27"/>
        <v>128484.14567668879</v>
      </c>
      <c r="I38" s="473">
        <f t="shared" si="0"/>
        <v>0</v>
      </c>
      <c r="J38" s="473"/>
      <c r="K38" s="485"/>
      <c r="L38" s="476">
        <f t="shared" si="1"/>
        <v>0</v>
      </c>
      <c r="M38" s="485"/>
      <c r="N38" s="476">
        <f t="shared" si="2"/>
        <v>0</v>
      </c>
      <c r="O38" s="476">
        <f t="shared" si="3"/>
        <v>0</v>
      </c>
      <c r="P38" s="241"/>
    </row>
    <row r="39" spans="2:16">
      <c r="B39" s="160" t="str">
        <f t="shared" si="6"/>
        <v/>
      </c>
      <c r="C39" s="470">
        <f>IF(D11="","-",+C38+1)</f>
        <v>2030</v>
      </c>
      <c r="D39" s="483">
        <f>IF(F38+SUM(E$17:E38)=D$10,F38,D$10-SUM(E$17:E38))</f>
        <v>777833.56114536035</v>
      </c>
      <c r="E39" s="482">
        <f>IF(+I14&lt;F38,I14,D39)</f>
        <v>40013.210526315786</v>
      </c>
      <c r="F39" s="483">
        <f t="shared" si="25"/>
        <v>737820.35061904462</v>
      </c>
      <c r="G39" s="484">
        <f t="shared" si="26"/>
        <v>123933.03560576405</v>
      </c>
      <c r="H39" s="453">
        <f t="shared" si="27"/>
        <v>123933.03560576405</v>
      </c>
      <c r="I39" s="473">
        <f t="shared" si="0"/>
        <v>0</v>
      </c>
      <c r="J39" s="473"/>
      <c r="K39" s="485"/>
      <c r="L39" s="476">
        <f t="shared" si="1"/>
        <v>0</v>
      </c>
      <c r="M39" s="485"/>
      <c r="N39" s="476">
        <f t="shared" si="2"/>
        <v>0</v>
      </c>
      <c r="O39" s="476">
        <f t="shared" si="3"/>
        <v>0</v>
      </c>
      <c r="P39" s="241"/>
    </row>
    <row r="40" spans="2:16">
      <c r="B40" s="160" t="str">
        <f t="shared" si="6"/>
        <v/>
      </c>
      <c r="C40" s="470">
        <f>IF(D11="","-",+C39+1)</f>
        <v>2031</v>
      </c>
      <c r="D40" s="483">
        <f>IF(F39+SUM(E$17:E39)=D$10,F39,D$10-SUM(E$17:E39))</f>
        <v>737820.35061904462</v>
      </c>
      <c r="E40" s="482">
        <f>IF(+I14&lt;F39,I14,D40)</f>
        <v>40013.210526315786</v>
      </c>
      <c r="F40" s="483">
        <f t="shared" si="25"/>
        <v>697807.14009272889</v>
      </c>
      <c r="G40" s="484">
        <f t="shared" si="26"/>
        <v>119381.92553483932</v>
      </c>
      <c r="H40" s="453">
        <f t="shared" si="27"/>
        <v>119381.92553483932</v>
      </c>
      <c r="I40" s="473">
        <f t="shared" si="0"/>
        <v>0</v>
      </c>
      <c r="J40" s="473"/>
      <c r="K40" s="485"/>
      <c r="L40" s="476">
        <f t="shared" si="1"/>
        <v>0</v>
      </c>
      <c r="M40" s="485"/>
      <c r="N40" s="476">
        <f t="shared" si="2"/>
        <v>0</v>
      </c>
      <c r="O40" s="476">
        <f t="shared" si="3"/>
        <v>0</v>
      </c>
      <c r="P40" s="241"/>
    </row>
    <row r="41" spans="2:16">
      <c r="B41" s="160" t="str">
        <f t="shared" si="6"/>
        <v/>
      </c>
      <c r="C41" s="470">
        <f>IF(D11="","-",+C40+1)</f>
        <v>2032</v>
      </c>
      <c r="D41" s="483">
        <f>IF(F40+SUM(E$17:E40)=D$10,F40,D$10-SUM(E$17:E40))</f>
        <v>697807.14009272889</v>
      </c>
      <c r="E41" s="482">
        <f>IF(+I14&lt;F40,I14,D41)</f>
        <v>40013.210526315786</v>
      </c>
      <c r="F41" s="483">
        <f t="shared" si="25"/>
        <v>657793.92956641316</v>
      </c>
      <c r="G41" s="484">
        <f t="shared" si="26"/>
        <v>114830.81546391458</v>
      </c>
      <c r="H41" s="453">
        <f t="shared" si="27"/>
        <v>114830.81546391458</v>
      </c>
      <c r="I41" s="473">
        <f t="shared" si="0"/>
        <v>0</v>
      </c>
      <c r="J41" s="473"/>
      <c r="K41" s="485"/>
      <c r="L41" s="476">
        <f t="shared" si="1"/>
        <v>0</v>
      </c>
      <c r="M41" s="485"/>
      <c r="N41" s="476">
        <f t="shared" si="2"/>
        <v>0</v>
      </c>
      <c r="O41" s="476">
        <f t="shared" si="3"/>
        <v>0</v>
      </c>
      <c r="P41" s="241"/>
    </row>
    <row r="42" spans="2:16">
      <c r="B42" s="160" t="str">
        <f t="shared" si="6"/>
        <v/>
      </c>
      <c r="C42" s="470">
        <f>IF(D11="","-",+C41+1)</f>
        <v>2033</v>
      </c>
      <c r="D42" s="483">
        <f>IF(F41+SUM(E$17:E41)=D$10,F41,D$10-SUM(E$17:E41))</f>
        <v>657793.92956641316</v>
      </c>
      <c r="E42" s="482">
        <f>IF(+I14&lt;F41,I14,D42)</f>
        <v>40013.210526315786</v>
      </c>
      <c r="F42" s="483">
        <f t="shared" si="25"/>
        <v>617780.71904009744</v>
      </c>
      <c r="G42" s="484">
        <f t="shared" si="26"/>
        <v>110279.70539298984</v>
      </c>
      <c r="H42" s="453">
        <f t="shared" si="27"/>
        <v>110279.70539298984</v>
      </c>
      <c r="I42" s="473">
        <f t="shared" si="0"/>
        <v>0</v>
      </c>
      <c r="J42" s="473"/>
      <c r="K42" s="485"/>
      <c r="L42" s="476">
        <f t="shared" si="1"/>
        <v>0</v>
      </c>
      <c r="M42" s="485"/>
      <c r="N42" s="476">
        <f t="shared" si="2"/>
        <v>0</v>
      </c>
      <c r="O42" s="476">
        <f t="shared" si="3"/>
        <v>0</v>
      </c>
      <c r="P42" s="241"/>
    </row>
    <row r="43" spans="2:16">
      <c r="B43" s="160" t="str">
        <f t="shared" si="6"/>
        <v/>
      </c>
      <c r="C43" s="470">
        <f>IF(D11="","-",+C42+1)</f>
        <v>2034</v>
      </c>
      <c r="D43" s="483">
        <f>IF(F42+SUM(E$17:E42)=D$10,F42,D$10-SUM(E$17:E42))</f>
        <v>617780.71904009744</v>
      </c>
      <c r="E43" s="482">
        <f>IF(+I14&lt;F42,I14,D43)</f>
        <v>40013.210526315786</v>
      </c>
      <c r="F43" s="483">
        <f t="shared" si="25"/>
        <v>577767.50851378171</v>
      </c>
      <c r="G43" s="484">
        <f t="shared" si="26"/>
        <v>105728.59532206511</v>
      </c>
      <c r="H43" s="453">
        <f t="shared" si="27"/>
        <v>105728.59532206511</v>
      </c>
      <c r="I43" s="473">
        <f t="shared" si="0"/>
        <v>0</v>
      </c>
      <c r="J43" s="473"/>
      <c r="K43" s="485"/>
      <c r="L43" s="476">
        <f t="shared" si="1"/>
        <v>0</v>
      </c>
      <c r="M43" s="485"/>
      <c r="N43" s="476">
        <f t="shared" si="2"/>
        <v>0</v>
      </c>
      <c r="O43" s="476">
        <f t="shared" si="3"/>
        <v>0</v>
      </c>
      <c r="P43" s="241"/>
    </row>
    <row r="44" spans="2:16">
      <c r="B44" s="160" t="str">
        <f t="shared" si="6"/>
        <v/>
      </c>
      <c r="C44" s="470">
        <f>IF(D11="","-",+C43+1)</f>
        <v>2035</v>
      </c>
      <c r="D44" s="483">
        <f>IF(F43+SUM(E$17:E43)=D$10,F43,D$10-SUM(E$17:E43))</f>
        <v>577767.50851378171</v>
      </c>
      <c r="E44" s="482">
        <f>IF(+I14&lt;F43,I14,D44)</f>
        <v>40013.210526315786</v>
      </c>
      <c r="F44" s="483">
        <f t="shared" si="25"/>
        <v>537754.29798746598</v>
      </c>
      <c r="G44" s="484">
        <f t="shared" si="26"/>
        <v>101177.48525114037</v>
      </c>
      <c r="H44" s="453">
        <f t="shared" si="27"/>
        <v>101177.48525114037</v>
      </c>
      <c r="I44" s="473">
        <f t="shared" si="0"/>
        <v>0</v>
      </c>
      <c r="J44" s="473"/>
      <c r="K44" s="485"/>
      <c r="L44" s="476">
        <f t="shared" si="1"/>
        <v>0</v>
      </c>
      <c r="M44" s="485"/>
      <c r="N44" s="476">
        <f t="shared" si="2"/>
        <v>0</v>
      </c>
      <c r="O44" s="476">
        <f t="shared" si="3"/>
        <v>0</v>
      </c>
      <c r="P44" s="241"/>
    </row>
    <row r="45" spans="2:16">
      <c r="B45" s="160" t="str">
        <f t="shared" si="6"/>
        <v/>
      </c>
      <c r="C45" s="470">
        <f>IF(D11="","-",+C44+1)</f>
        <v>2036</v>
      </c>
      <c r="D45" s="483">
        <f>IF(F44+SUM(E$17:E44)=D$10,F44,D$10-SUM(E$17:E44))</f>
        <v>537754.29798746598</v>
      </c>
      <c r="E45" s="482">
        <f>IF(+I14&lt;F44,I14,D45)</f>
        <v>40013.210526315786</v>
      </c>
      <c r="F45" s="483">
        <f t="shared" si="25"/>
        <v>497741.08746115019</v>
      </c>
      <c r="G45" s="484">
        <f t="shared" si="26"/>
        <v>96626.375180215633</v>
      </c>
      <c r="H45" s="453">
        <f t="shared" si="27"/>
        <v>96626.375180215633</v>
      </c>
      <c r="I45" s="473">
        <f t="shared" si="0"/>
        <v>0</v>
      </c>
      <c r="J45" s="473"/>
      <c r="K45" s="485"/>
      <c r="L45" s="476">
        <f t="shared" si="1"/>
        <v>0</v>
      </c>
      <c r="M45" s="485"/>
      <c r="N45" s="476">
        <f t="shared" si="2"/>
        <v>0</v>
      </c>
      <c r="O45" s="476">
        <f t="shared" si="3"/>
        <v>0</v>
      </c>
      <c r="P45" s="241"/>
    </row>
    <row r="46" spans="2:16">
      <c r="B46" s="160" t="str">
        <f t="shared" si="6"/>
        <v/>
      </c>
      <c r="C46" s="470">
        <f>IF(D11="","-",+C45+1)</f>
        <v>2037</v>
      </c>
      <c r="D46" s="483">
        <f>IF(F45+SUM(E$17:E45)=D$10,F45,D$10-SUM(E$17:E45))</f>
        <v>497741.08746115019</v>
      </c>
      <c r="E46" s="482">
        <f>IF(+I14&lt;F45,I14,D46)</f>
        <v>40013.210526315786</v>
      </c>
      <c r="F46" s="483">
        <f t="shared" si="25"/>
        <v>457727.87693483441</v>
      </c>
      <c r="G46" s="484">
        <f t="shared" si="26"/>
        <v>92075.265109290893</v>
      </c>
      <c r="H46" s="453">
        <f t="shared" si="27"/>
        <v>92075.265109290893</v>
      </c>
      <c r="I46" s="473">
        <f t="shared" si="0"/>
        <v>0</v>
      </c>
      <c r="J46" s="473"/>
      <c r="K46" s="485"/>
      <c r="L46" s="476">
        <f t="shared" si="1"/>
        <v>0</v>
      </c>
      <c r="M46" s="485"/>
      <c r="N46" s="476">
        <f t="shared" si="2"/>
        <v>0</v>
      </c>
      <c r="O46" s="476">
        <f t="shared" si="3"/>
        <v>0</v>
      </c>
      <c r="P46" s="241"/>
    </row>
    <row r="47" spans="2:16">
      <c r="B47" s="160" t="str">
        <f t="shared" si="6"/>
        <v/>
      </c>
      <c r="C47" s="470">
        <f>IF(D11="","-",+C46+1)</f>
        <v>2038</v>
      </c>
      <c r="D47" s="483">
        <f>IF(F46+SUM(E$17:E46)=D$10,F46,D$10-SUM(E$17:E46))</f>
        <v>457727.87693483441</v>
      </c>
      <c r="E47" s="482">
        <f>IF(+I14&lt;F46,I14,D47)</f>
        <v>40013.210526315786</v>
      </c>
      <c r="F47" s="483">
        <f t="shared" si="25"/>
        <v>417714.66640851862</v>
      </c>
      <c r="G47" s="484">
        <f t="shared" si="26"/>
        <v>87524.155038366152</v>
      </c>
      <c r="H47" s="453">
        <f t="shared" si="27"/>
        <v>87524.155038366152</v>
      </c>
      <c r="I47" s="473">
        <f t="shared" si="0"/>
        <v>0</v>
      </c>
      <c r="J47" s="473"/>
      <c r="K47" s="485"/>
      <c r="L47" s="476">
        <f t="shared" si="1"/>
        <v>0</v>
      </c>
      <c r="M47" s="485"/>
      <c r="N47" s="476">
        <f t="shared" si="2"/>
        <v>0</v>
      </c>
      <c r="O47" s="476">
        <f t="shared" si="3"/>
        <v>0</v>
      </c>
      <c r="P47" s="241"/>
    </row>
    <row r="48" spans="2:16">
      <c r="B48" s="160" t="str">
        <f t="shared" si="6"/>
        <v/>
      </c>
      <c r="C48" s="470">
        <f>IF(D11="","-",+C47+1)</f>
        <v>2039</v>
      </c>
      <c r="D48" s="483">
        <f>IF(F47+SUM(E$17:E47)=D$10,F47,D$10-SUM(E$17:E47))</f>
        <v>417714.66640851862</v>
      </c>
      <c r="E48" s="482">
        <f>IF(+I14&lt;F47,I14,D48)</f>
        <v>40013.210526315786</v>
      </c>
      <c r="F48" s="483">
        <f t="shared" si="25"/>
        <v>377701.45588220283</v>
      </c>
      <c r="G48" s="484">
        <f t="shared" si="26"/>
        <v>82973.044967441398</v>
      </c>
      <c r="H48" s="453">
        <f t="shared" si="27"/>
        <v>82973.044967441398</v>
      </c>
      <c r="I48" s="473">
        <f t="shared" si="0"/>
        <v>0</v>
      </c>
      <c r="J48" s="473"/>
      <c r="K48" s="485"/>
      <c r="L48" s="476">
        <f t="shared" si="1"/>
        <v>0</v>
      </c>
      <c r="M48" s="485"/>
      <c r="N48" s="476">
        <f t="shared" si="2"/>
        <v>0</v>
      </c>
      <c r="O48" s="476">
        <f t="shared" si="3"/>
        <v>0</v>
      </c>
      <c r="P48" s="241"/>
    </row>
    <row r="49" spans="2:16">
      <c r="B49" s="160" t="str">
        <f t="shared" si="6"/>
        <v/>
      </c>
      <c r="C49" s="470">
        <f>IF(D11="","-",+C48+1)</f>
        <v>2040</v>
      </c>
      <c r="D49" s="483">
        <f>IF(F48+SUM(E$17:E48)=D$10,F48,D$10-SUM(E$17:E48))</f>
        <v>377701.45588220283</v>
      </c>
      <c r="E49" s="482">
        <f>IF(+I14&lt;F48,I14,D49)</f>
        <v>40013.210526315786</v>
      </c>
      <c r="F49" s="483">
        <f t="shared" ref="F49:F72" si="28">+D49-E49</f>
        <v>337688.24535588705</v>
      </c>
      <c r="G49" s="484">
        <f t="shared" si="26"/>
        <v>78421.934896516657</v>
      </c>
      <c r="H49" s="453">
        <f t="shared" si="27"/>
        <v>78421.934896516657</v>
      </c>
      <c r="I49" s="473">
        <f t="shared" ref="I49:I72" si="29">H49-G49</f>
        <v>0</v>
      </c>
      <c r="J49" s="473"/>
      <c r="K49" s="485"/>
      <c r="L49" s="476">
        <f t="shared" ref="L49:L72" si="30">IF(K49&lt;&gt;0,+G49-K49,0)</f>
        <v>0</v>
      </c>
      <c r="M49" s="485"/>
      <c r="N49" s="476">
        <f t="shared" ref="N49:N72" si="31">IF(M49&lt;&gt;0,+H49-M49,0)</f>
        <v>0</v>
      </c>
      <c r="O49" s="476">
        <f t="shared" ref="O49:O72" si="32">+N49-L49</f>
        <v>0</v>
      </c>
      <c r="P49" s="241"/>
    </row>
    <row r="50" spans="2:16">
      <c r="B50" s="160" t="str">
        <f t="shared" si="6"/>
        <v/>
      </c>
      <c r="C50" s="470">
        <f>IF(D11="","-",+C49+1)</f>
        <v>2041</v>
      </c>
      <c r="D50" s="483">
        <f>IF(F49+SUM(E$17:E49)=D$10,F49,D$10-SUM(E$17:E49))</f>
        <v>337688.24535588705</v>
      </c>
      <c r="E50" s="482">
        <f>IF(+I14&lt;F49,I14,D50)</f>
        <v>40013.210526315786</v>
      </c>
      <c r="F50" s="483">
        <f t="shared" si="28"/>
        <v>297675.03482957126</v>
      </c>
      <c r="G50" s="484">
        <f t="shared" si="26"/>
        <v>73870.824825591902</v>
      </c>
      <c r="H50" s="453">
        <f t="shared" si="27"/>
        <v>73870.824825591902</v>
      </c>
      <c r="I50" s="473">
        <f t="shared" si="29"/>
        <v>0</v>
      </c>
      <c r="J50" s="473"/>
      <c r="K50" s="485"/>
      <c r="L50" s="476">
        <f t="shared" si="30"/>
        <v>0</v>
      </c>
      <c r="M50" s="485"/>
      <c r="N50" s="476">
        <f t="shared" si="31"/>
        <v>0</v>
      </c>
      <c r="O50" s="476">
        <f t="shared" si="32"/>
        <v>0</v>
      </c>
      <c r="P50" s="241"/>
    </row>
    <row r="51" spans="2:16">
      <c r="B51" s="160" t="str">
        <f t="shared" si="6"/>
        <v/>
      </c>
      <c r="C51" s="470">
        <f>IF(D11="","-",+C50+1)</f>
        <v>2042</v>
      </c>
      <c r="D51" s="483">
        <f>IF(F50+SUM(E$17:E50)=D$10,F50,D$10-SUM(E$17:E50))</f>
        <v>297675.03482957126</v>
      </c>
      <c r="E51" s="482">
        <f>IF(+I14&lt;F50,I14,D51)</f>
        <v>40013.210526315786</v>
      </c>
      <c r="F51" s="483">
        <f t="shared" si="28"/>
        <v>257661.82430325547</v>
      </c>
      <c r="G51" s="484">
        <f t="shared" si="26"/>
        <v>69319.714754667162</v>
      </c>
      <c r="H51" s="453">
        <f t="shared" si="27"/>
        <v>69319.714754667162</v>
      </c>
      <c r="I51" s="473">
        <f t="shared" si="29"/>
        <v>0</v>
      </c>
      <c r="J51" s="473"/>
      <c r="K51" s="485"/>
      <c r="L51" s="476">
        <f t="shared" si="30"/>
        <v>0</v>
      </c>
      <c r="M51" s="485"/>
      <c r="N51" s="476">
        <f t="shared" si="31"/>
        <v>0</v>
      </c>
      <c r="O51" s="476">
        <f t="shared" si="32"/>
        <v>0</v>
      </c>
      <c r="P51" s="241"/>
    </row>
    <row r="52" spans="2:16">
      <c r="B52" s="160" t="str">
        <f t="shared" si="6"/>
        <v/>
      </c>
      <c r="C52" s="470">
        <f>IF(D11="","-",+C51+1)</f>
        <v>2043</v>
      </c>
      <c r="D52" s="483">
        <f>IF(F51+SUM(E$17:E51)=D$10,F51,D$10-SUM(E$17:E51))</f>
        <v>257661.82430325547</v>
      </c>
      <c r="E52" s="482">
        <f>IF(+I14&lt;F51,I14,D52)</f>
        <v>40013.210526315786</v>
      </c>
      <c r="F52" s="483">
        <f t="shared" si="28"/>
        <v>217648.61377693969</v>
      </c>
      <c r="G52" s="484">
        <f t="shared" si="26"/>
        <v>64768.604683742422</v>
      </c>
      <c r="H52" s="453">
        <f t="shared" si="27"/>
        <v>64768.604683742422</v>
      </c>
      <c r="I52" s="473">
        <f t="shared" si="29"/>
        <v>0</v>
      </c>
      <c r="J52" s="473"/>
      <c r="K52" s="485"/>
      <c r="L52" s="476">
        <f t="shared" si="30"/>
        <v>0</v>
      </c>
      <c r="M52" s="485"/>
      <c r="N52" s="476">
        <f t="shared" si="31"/>
        <v>0</v>
      </c>
      <c r="O52" s="476">
        <f t="shared" si="32"/>
        <v>0</v>
      </c>
      <c r="P52" s="241"/>
    </row>
    <row r="53" spans="2:16">
      <c r="B53" s="160" t="str">
        <f t="shared" si="6"/>
        <v/>
      </c>
      <c r="C53" s="470">
        <f>IF(D11="","-",+C52+1)</f>
        <v>2044</v>
      </c>
      <c r="D53" s="483">
        <f>IF(F52+SUM(E$17:E52)=D$10,F52,D$10-SUM(E$17:E52))</f>
        <v>217648.61377693969</v>
      </c>
      <c r="E53" s="482">
        <f>IF(+I14&lt;F52,I14,D53)</f>
        <v>40013.210526315786</v>
      </c>
      <c r="F53" s="483">
        <f t="shared" si="28"/>
        <v>177635.4032506239</v>
      </c>
      <c r="G53" s="484">
        <f t="shared" si="26"/>
        <v>60217.494612817682</v>
      </c>
      <c r="H53" s="453">
        <f t="shared" si="27"/>
        <v>60217.494612817682</v>
      </c>
      <c r="I53" s="473">
        <f t="shared" si="29"/>
        <v>0</v>
      </c>
      <c r="J53" s="473"/>
      <c r="K53" s="485"/>
      <c r="L53" s="476">
        <f t="shared" si="30"/>
        <v>0</v>
      </c>
      <c r="M53" s="485"/>
      <c r="N53" s="476">
        <f t="shared" si="31"/>
        <v>0</v>
      </c>
      <c r="O53" s="476">
        <f t="shared" si="32"/>
        <v>0</v>
      </c>
      <c r="P53" s="241"/>
    </row>
    <row r="54" spans="2:16">
      <c r="B54" s="160" t="str">
        <f t="shared" si="6"/>
        <v/>
      </c>
      <c r="C54" s="470">
        <f>IF(D11="","-",+C53+1)</f>
        <v>2045</v>
      </c>
      <c r="D54" s="483">
        <f>IF(F53+SUM(E$17:E53)=D$10,F53,D$10-SUM(E$17:E53))</f>
        <v>177635.4032506239</v>
      </c>
      <c r="E54" s="482">
        <f>IF(+I14&lt;F53,I14,D54)</f>
        <v>40013.210526315786</v>
      </c>
      <c r="F54" s="483">
        <f t="shared" si="28"/>
        <v>137622.19272430812</v>
      </c>
      <c r="G54" s="484">
        <f t="shared" si="26"/>
        <v>55666.384541892941</v>
      </c>
      <c r="H54" s="453">
        <f t="shared" si="27"/>
        <v>55666.384541892941</v>
      </c>
      <c r="I54" s="473">
        <f t="shared" si="29"/>
        <v>0</v>
      </c>
      <c r="J54" s="473"/>
      <c r="K54" s="485"/>
      <c r="L54" s="476">
        <f t="shared" si="30"/>
        <v>0</v>
      </c>
      <c r="M54" s="485"/>
      <c r="N54" s="476">
        <f t="shared" si="31"/>
        <v>0</v>
      </c>
      <c r="O54" s="476">
        <f t="shared" si="32"/>
        <v>0</v>
      </c>
      <c r="P54" s="241"/>
    </row>
    <row r="55" spans="2:16">
      <c r="B55" s="160" t="str">
        <f t="shared" si="6"/>
        <v/>
      </c>
      <c r="C55" s="470">
        <f>IF(D11="","-",+C54+1)</f>
        <v>2046</v>
      </c>
      <c r="D55" s="483">
        <f>IF(F54+SUM(E$17:E54)=D$10,F54,D$10-SUM(E$17:E54))</f>
        <v>137622.19272430812</v>
      </c>
      <c r="E55" s="482">
        <f>IF(+I14&lt;F54,I14,D55)</f>
        <v>40013.210526315786</v>
      </c>
      <c r="F55" s="483">
        <f t="shared" si="28"/>
        <v>97608.982197992329</v>
      </c>
      <c r="G55" s="484">
        <f t="shared" si="26"/>
        <v>51115.274470968201</v>
      </c>
      <c r="H55" s="453">
        <f t="shared" si="27"/>
        <v>51115.274470968201</v>
      </c>
      <c r="I55" s="473">
        <f t="shared" si="29"/>
        <v>0</v>
      </c>
      <c r="J55" s="473"/>
      <c r="K55" s="485"/>
      <c r="L55" s="476">
        <f t="shared" si="30"/>
        <v>0</v>
      </c>
      <c r="M55" s="485"/>
      <c r="N55" s="476">
        <f t="shared" si="31"/>
        <v>0</v>
      </c>
      <c r="O55" s="476">
        <f t="shared" si="32"/>
        <v>0</v>
      </c>
      <c r="P55" s="241"/>
    </row>
    <row r="56" spans="2:16">
      <c r="B56" s="160" t="str">
        <f t="shared" si="6"/>
        <v/>
      </c>
      <c r="C56" s="470">
        <f>IF(D11="","-",+C55+1)</f>
        <v>2047</v>
      </c>
      <c r="D56" s="483">
        <f>IF(F55+SUM(E$17:E55)=D$10,F55,D$10-SUM(E$17:E55))</f>
        <v>97608.982197992329</v>
      </c>
      <c r="E56" s="482">
        <f>IF(+I14&lt;F55,I14,D56)</f>
        <v>40013.210526315786</v>
      </c>
      <c r="F56" s="483">
        <f t="shared" si="28"/>
        <v>57595.771671676543</v>
      </c>
      <c r="G56" s="484">
        <f t="shared" si="26"/>
        <v>46564.164400043453</v>
      </c>
      <c r="H56" s="453">
        <f t="shared" si="27"/>
        <v>46564.164400043453</v>
      </c>
      <c r="I56" s="473">
        <f t="shared" si="29"/>
        <v>0</v>
      </c>
      <c r="J56" s="473"/>
      <c r="K56" s="485"/>
      <c r="L56" s="476">
        <f t="shared" si="30"/>
        <v>0</v>
      </c>
      <c r="M56" s="485"/>
      <c r="N56" s="476">
        <f t="shared" si="31"/>
        <v>0</v>
      </c>
      <c r="O56" s="476">
        <f t="shared" si="32"/>
        <v>0</v>
      </c>
      <c r="P56" s="241"/>
    </row>
    <row r="57" spans="2:16">
      <c r="B57" s="160" t="str">
        <f t="shared" si="6"/>
        <v/>
      </c>
      <c r="C57" s="470">
        <f>IF(D11="","-",+C56+1)</f>
        <v>2048</v>
      </c>
      <c r="D57" s="483">
        <f>IF(F56+SUM(E$17:E56)=D$10,F56,D$10-SUM(E$17:E56))</f>
        <v>57595.771671676543</v>
      </c>
      <c r="E57" s="482">
        <f>IF(+I14&lt;F56,I14,D57)</f>
        <v>40013.210526315786</v>
      </c>
      <c r="F57" s="483">
        <f t="shared" si="28"/>
        <v>17582.561145360756</v>
      </c>
      <c r="G57" s="484">
        <f t="shared" si="26"/>
        <v>42013.054329118713</v>
      </c>
      <c r="H57" s="453">
        <f t="shared" si="27"/>
        <v>42013.054329118713</v>
      </c>
      <c r="I57" s="473">
        <f t="shared" si="29"/>
        <v>0</v>
      </c>
      <c r="J57" s="473"/>
      <c r="K57" s="485"/>
      <c r="L57" s="476">
        <f t="shared" si="30"/>
        <v>0</v>
      </c>
      <c r="M57" s="485"/>
      <c r="N57" s="476">
        <f t="shared" si="31"/>
        <v>0</v>
      </c>
      <c r="O57" s="476">
        <f t="shared" si="32"/>
        <v>0</v>
      </c>
      <c r="P57" s="241"/>
    </row>
    <row r="58" spans="2:16">
      <c r="B58" s="160" t="str">
        <f t="shared" si="6"/>
        <v/>
      </c>
      <c r="C58" s="470">
        <f>IF(D11="","-",+C57+1)</f>
        <v>2049</v>
      </c>
      <c r="D58" s="483">
        <f>IF(F57+SUM(E$17:E57)=D$10,F57,D$10-SUM(E$17:E57))</f>
        <v>17582.561145360756</v>
      </c>
      <c r="E58" s="482">
        <f>IF(+I14&lt;F57,I14,D58)</f>
        <v>17582.561145360756</v>
      </c>
      <c r="F58" s="483">
        <f t="shared" si="28"/>
        <v>0</v>
      </c>
      <c r="G58" s="484">
        <f t="shared" si="26"/>
        <v>17582.561145360756</v>
      </c>
      <c r="H58" s="453">
        <f t="shared" si="27"/>
        <v>17582.561145360756</v>
      </c>
      <c r="I58" s="473">
        <f t="shared" si="29"/>
        <v>0</v>
      </c>
      <c r="J58" s="473"/>
      <c r="K58" s="485"/>
      <c r="L58" s="476">
        <f t="shared" si="30"/>
        <v>0</v>
      </c>
      <c r="M58" s="485"/>
      <c r="N58" s="476">
        <f t="shared" si="31"/>
        <v>0</v>
      </c>
      <c r="O58" s="476">
        <f t="shared" si="32"/>
        <v>0</v>
      </c>
      <c r="P58" s="241"/>
    </row>
    <row r="59" spans="2:16">
      <c r="B59" s="160" t="str">
        <f t="shared" si="6"/>
        <v/>
      </c>
      <c r="C59" s="470">
        <f>IF(D11="","-",+C58+1)</f>
        <v>2050</v>
      </c>
      <c r="D59" s="483">
        <f>IF(F58+SUM(E$17:E58)=D$10,F58,D$10-SUM(E$17:E58))</f>
        <v>0</v>
      </c>
      <c r="E59" s="482">
        <f>IF(+I14&lt;F58,I14,D59)</f>
        <v>0</v>
      </c>
      <c r="F59" s="483">
        <f t="shared" si="28"/>
        <v>0</v>
      </c>
      <c r="G59" s="484">
        <f t="shared" si="26"/>
        <v>0</v>
      </c>
      <c r="H59" s="453">
        <f t="shared" si="27"/>
        <v>0</v>
      </c>
      <c r="I59" s="473">
        <f t="shared" si="29"/>
        <v>0</v>
      </c>
      <c r="J59" s="473"/>
      <c r="K59" s="485"/>
      <c r="L59" s="476">
        <f t="shared" si="30"/>
        <v>0</v>
      </c>
      <c r="M59" s="485"/>
      <c r="N59" s="476">
        <f t="shared" si="31"/>
        <v>0</v>
      </c>
      <c r="O59" s="476">
        <f t="shared" si="32"/>
        <v>0</v>
      </c>
      <c r="P59" s="241"/>
    </row>
    <row r="60" spans="2:16">
      <c r="B60" s="160" t="str">
        <f t="shared" si="6"/>
        <v/>
      </c>
      <c r="C60" s="470">
        <f>IF(D11="","-",+C59+1)</f>
        <v>2051</v>
      </c>
      <c r="D60" s="483">
        <f>IF(F59+SUM(E$17:E59)=D$10,F59,D$10-SUM(E$17:E59))</f>
        <v>0</v>
      </c>
      <c r="E60" s="482">
        <f>IF(+I14&lt;F59,I14,D60)</f>
        <v>0</v>
      </c>
      <c r="F60" s="483">
        <f t="shared" si="28"/>
        <v>0</v>
      </c>
      <c r="G60" s="484">
        <f t="shared" si="26"/>
        <v>0</v>
      </c>
      <c r="H60" s="453">
        <f t="shared" si="27"/>
        <v>0</v>
      </c>
      <c r="I60" s="473">
        <f t="shared" si="29"/>
        <v>0</v>
      </c>
      <c r="J60" s="473"/>
      <c r="K60" s="485"/>
      <c r="L60" s="476">
        <f t="shared" si="30"/>
        <v>0</v>
      </c>
      <c r="M60" s="485"/>
      <c r="N60" s="476">
        <f t="shared" si="31"/>
        <v>0</v>
      </c>
      <c r="O60" s="476">
        <f t="shared" si="32"/>
        <v>0</v>
      </c>
      <c r="P60" s="241"/>
    </row>
    <row r="61" spans="2:16">
      <c r="B61" s="160" t="str">
        <f t="shared" si="6"/>
        <v/>
      </c>
      <c r="C61" s="470">
        <f>IF(D11="","-",+C60+1)</f>
        <v>2052</v>
      </c>
      <c r="D61" s="483">
        <f>IF(F60+SUM(E$17:E60)=D$10,F60,D$10-SUM(E$17:E60))</f>
        <v>0</v>
      </c>
      <c r="E61" s="482">
        <f>IF(+I14&lt;F60,I14,D61)</f>
        <v>0</v>
      </c>
      <c r="F61" s="483">
        <f t="shared" si="28"/>
        <v>0</v>
      </c>
      <c r="G61" s="486">
        <f t="shared" si="26"/>
        <v>0</v>
      </c>
      <c r="H61" s="453">
        <f t="shared" si="27"/>
        <v>0</v>
      </c>
      <c r="I61" s="473">
        <f t="shared" si="29"/>
        <v>0</v>
      </c>
      <c r="J61" s="473"/>
      <c r="K61" s="485"/>
      <c r="L61" s="476">
        <f t="shared" si="30"/>
        <v>0</v>
      </c>
      <c r="M61" s="485"/>
      <c r="N61" s="476">
        <f t="shared" si="31"/>
        <v>0</v>
      </c>
      <c r="O61" s="476">
        <f t="shared" si="32"/>
        <v>0</v>
      </c>
      <c r="P61" s="241"/>
    </row>
    <row r="62" spans="2:16">
      <c r="B62" s="160" t="str">
        <f t="shared" si="6"/>
        <v/>
      </c>
      <c r="C62" s="470">
        <f>IF(D11="","-",+C61+1)</f>
        <v>2053</v>
      </c>
      <c r="D62" s="483">
        <f>IF(F61+SUM(E$17:E61)=D$10,F61,D$10-SUM(E$17:E61))</f>
        <v>0</v>
      </c>
      <c r="E62" s="482">
        <f>IF(+I14&lt;F61,I14,D62)</f>
        <v>0</v>
      </c>
      <c r="F62" s="483">
        <f t="shared" si="28"/>
        <v>0</v>
      </c>
      <c r="G62" s="486">
        <f t="shared" si="26"/>
        <v>0</v>
      </c>
      <c r="H62" s="453">
        <f t="shared" si="27"/>
        <v>0</v>
      </c>
      <c r="I62" s="473">
        <f t="shared" si="29"/>
        <v>0</v>
      </c>
      <c r="J62" s="473"/>
      <c r="K62" s="485"/>
      <c r="L62" s="476">
        <f t="shared" si="30"/>
        <v>0</v>
      </c>
      <c r="M62" s="485"/>
      <c r="N62" s="476">
        <f t="shared" si="31"/>
        <v>0</v>
      </c>
      <c r="O62" s="476">
        <f t="shared" si="32"/>
        <v>0</v>
      </c>
      <c r="P62" s="241"/>
    </row>
    <row r="63" spans="2:16">
      <c r="B63" s="160" t="str">
        <f t="shared" si="6"/>
        <v/>
      </c>
      <c r="C63" s="470">
        <f>IF(D11="","-",+C62+1)</f>
        <v>2054</v>
      </c>
      <c r="D63" s="483">
        <f>IF(F62+SUM(E$17:E62)=D$10,F62,D$10-SUM(E$17:E62))</f>
        <v>0</v>
      </c>
      <c r="E63" s="482">
        <f>IF(+I14&lt;F62,I14,D63)</f>
        <v>0</v>
      </c>
      <c r="F63" s="483">
        <f t="shared" si="28"/>
        <v>0</v>
      </c>
      <c r="G63" s="486">
        <f t="shared" si="26"/>
        <v>0</v>
      </c>
      <c r="H63" s="453">
        <f t="shared" si="27"/>
        <v>0</v>
      </c>
      <c r="I63" s="473">
        <f t="shared" si="29"/>
        <v>0</v>
      </c>
      <c r="J63" s="473"/>
      <c r="K63" s="485"/>
      <c r="L63" s="476">
        <f t="shared" si="30"/>
        <v>0</v>
      </c>
      <c r="M63" s="485"/>
      <c r="N63" s="476">
        <f t="shared" si="31"/>
        <v>0</v>
      </c>
      <c r="O63" s="476">
        <f t="shared" si="32"/>
        <v>0</v>
      </c>
      <c r="P63" s="241"/>
    </row>
    <row r="64" spans="2:16">
      <c r="B64" s="160" t="str">
        <f t="shared" si="6"/>
        <v/>
      </c>
      <c r="C64" s="470">
        <f>IF(D11="","-",+C63+1)</f>
        <v>2055</v>
      </c>
      <c r="D64" s="483">
        <f>IF(F63+SUM(E$17:E63)=D$10,F63,D$10-SUM(E$17:E63))</f>
        <v>0</v>
      </c>
      <c r="E64" s="482">
        <f>IF(+I14&lt;F63,I14,D64)</f>
        <v>0</v>
      </c>
      <c r="F64" s="483">
        <f t="shared" si="28"/>
        <v>0</v>
      </c>
      <c r="G64" s="486">
        <f t="shared" si="26"/>
        <v>0</v>
      </c>
      <c r="H64" s="453">
        <f t="shared" si="27"/>
        <v>0</v>
      </c>
      <c r="I64" s="473">
        <f t="shared" si="29"/>
        <v>0</v>
      </c>
      <c r="J64" s="473"/>
      <c r="K64" s="485"/>
      <c r="L64" s="476">
        <f t="shared" si="30"/>
        <v>0</v>
      </c>
      <c r="M64" s="485"/>
      <c r="N64" s="476">
        <f t="shared" si="31"/>
        <v>0</v>
      </c>
      <c r="O64" s="476">
        <f t="shared" si="32"/>
        <v>0</v>
      </c>
      <c r="P64" s="241"/>
    </row>
    <row r="65" spans="2:16">
      <c r="B65" s="160" t="str">
        <f t="shared" si="6"/>
        <v/>
      </c>
      <c r="C65" s="470">
        <f>IF(D11="","-",+C64+1)</f>
        <v>2056</v>
      </c>
      <c r="D65" s="483">
        <f>IF(F64+SUM(E$17:E64)=D$10,F64,D$10-SUM(E$17:E64))</f>
        <v>0</v>
      </c>
      <c r="E65" s="482">
        <f>IF(+I14&lt;F64,I14,D65)</f>
        <v>0</v>
      </c>
      <c r="F65" s="483">
        <f t="shared" si="28"/>
        <v>0</v>
      </c>
      <c r="G65" s="486">
        <f t="shared" si="26"/>
        <v>0</v>
      </c>
      <c r="H65" s="453">
        <f t="shared" si="27"/>
        <v>0</v>
      </c>
      <c r="I65" s="473">
        <f t="shared" si="29"/>
        <v>0</v>
      </c>
      <c r="J65" s="473"/>
      <c r="K65" s="485"/>
      <c r="L65" s="476">
        <f t="shared" si="30"/>
        <v>0</v>
      </c>
      <c r="M65" s="485"/>
      <c r="N65" s="476">
        <f t="shared" si="31"/>
        <v>0</v>
      </c>
      <c r="O65" s="476">
        <f t="shared" si="32"/>
        <v>0</v>
      </c>
      <c r="P65" s="241"/>
    </row>
    <row r="66" spans="2:16">
      <c r="B66" s="160" t="str">
        <f t="shared" si="6"/>
        <v/>
      </c>
      <c r="C66" s="470">
        <f>IF(D11="","-",+C65+1)</f>
        <v>2057</v>
      </c>
      <c r="D66" s="483">
        <f>IF(F65+SUM(E$17:E65)=D$10,F65,D$10-SUM(E$17:E65))</f>
        <v>0</v>
      </c>
      <c r="E66" s="482">
        <f>IF(+I14&lt;F65,I14,D66)</f>
        <v>0</v>
      </c>
      <c r="F66" s="483">
        <f t="shared" si="28"/>
        <v>0</v>
      </c>
      <c r="G66" s="486">
        <f t="shared" si="26"/>
        <v>0</v>
      </c>
      <c r="H66" s="453">
        <f t="shared" si="27"/>
        <v>0</v>
      </c>
      <c r="I66" s="473">
        <f t="shared" si="29"/>
        <v>0</v>
      </c>
      <c r="J66" s="473"/>
      <c r="K66" s="485"/>
      <c r="L66" s="476">
        <f t="shared" si="30"/>
        <v>0</v>
      </c>
      <c r="M66" s="485"/>
      <c r="N66" s="476">
        <f t="shared" si="31"/>
        <v>0</v>
      </c>
      <c r="O66" s="476">
        <f t="shared" si="32"/>
        <v>0</v>
      </c>
      <c r="P66" s="241"/>
    </row>
    <row r="67" spans="2:16">
      <c r="B67" s="160" t="str">
        <f t="shared" si="6"/>
        <v/>
      </c>
      <c r="C67" s="470">
        <f>IF(D11="","-",+C66+1)</f>
        <v>2058</v>
      </c>
      <c r="D67" s="483">
        <f>IF(F66+SUM(E$17:E66)=D$10,F66,D$10-SUM(E$17:E66))</f>
        <v>0</v>
      </c>
      <c r="E67" s="482">
        <f>IF(+I14&lt;F66,I14,D67)</f>
        <v>0</v>
      </c>
      <c r="F67" s="483">
        <f t="shared" si="28"/>
        <v>0</v>
      </c>
      <c r="G67" s="486">
        <f t="shared" si="26"/>
        <v>0</v>
      </c>
      <c r="H67" s="453">
        <f t="shared" si="27"/>
        <v>0</v>
      </c>
      <c r="I67" s="473">
        <f t="shared" si="29"/>
        <v>0</v>
      </c>
      <c r="J67" s="473"/>
      <c r="K67" s="485"/>
      <c r="L67" s="476">
        <f t="shared" si="30"/>
        <v>0</v>
      </c>
      <c r="M67" s="485"/>
      <c r="N67" s="476">
        <f t="shared" si="31"/>
        <v>0</v>
      </c>
      <c r="O67" s="476">
        <f t="shared" si="32"/>
        <v>0</v>
      </c>
      <c r="P67" s="241"/>
    </row>
    <row r="68" spans="2:16">
      <c r="B68" s="160" t="str">
        <f t="shared" si="6"/>
        <v/>
      </c>
      <c r="C68" s="470">
        <f>IF(D11="","-",+C67+1)</f>
        <v>2059</v>
      </c>
      <c r="D68" s="483">
        <f>IF(F67+SUM(E$17:E67)=D$10,F67,D$10-SUM(E$17:E67))</f>
        <v>0</v>
      </c>
      <c r="E68" s="482">
        <f>IF(+I14&lt;F67,I14,D68)</f>
        <v>0</v>
      </c>
      <c r="F68" s="483">
        <f t="shared" si="28"/>
        <v>0</v>
      </c>
      <c r="G68" s="486">
        <f t="shared" si="26"/>
        <v>0</v>
      </c>
      <c r="H68" s="453">
        <f t="shared" si="27"/>
        <v>0</v>
      </c>
      <c r="I68" s="473">
        <f t="shared" si="29"/>
        <v>0</v>
      </c>
      <c r="J68" s="473"/>
      <c r="K68" s="485"/>
      <c r="L68" s="476">
        <f t="shared" si="30"/>
        <v>0</v>
      </c>
      <c r="M68" s="485"/>
      <c r="N68" s="476">
        <f t="shared" si="31"/>
        <v>0</v>
      </c>
      <c r="O68" s="476">
        <f t="shared" si="32"/>
        <v>0</v>
      </c>
      <c r="P68" s="241"/>
    </row>
    <row r="69" spans="2:16">
      <c r="B69" s="160" t="str">
        <f t="shared" si="6"/>
        <v/>
      </c>
      <c r="C69" s="470">
        <f>IF(D11="","-",+C68+1)</f>
        <v>2060</v>
      </c>
      <c r="D69" s="483">
        <f>IF(F68+SUM(E$17:E68)=D$10,F68,D$10-SUM(E$17:E68))</f>
        <v>0</v>
      </c>
      <c r="E69" s="482">
        <f>IF(+I14&lt;F68,I14,D69)</f>
        <v>0</v>
      </c>
      <c r="F69" s="483">
        <f t="shared" si="28"/>
        <v>0</v>
      </c>
      <c r="G69" s="486">
        <f t="shared" si="26"/>
        <v>0</v>
      </c>
      <c r="H69" s="453">
        <f t="shared" si="27"/>
        <v>0</v>
      </c>
      <c r="I69" s="473">
        <f t="shared" si="29"/>
        <v>0</v>
      </c>
      <c r="J69" s="473"/>
      <c r="K69" s="485"/>
      <c r="L69" s="476">
        <f t="shared" si="30"/>
        <v>0</v>
      </c>
      <c r="M69" s="485"/>
      <c r="N69" s="476">
        <f t="shared" si="31"/>
        <v>0</v>
      </c>
      <c r="O69" s="476">
        <f t="shared" si="32"/>
        <v>0</v>
      </c>
      <c r="P69" s="241"/>
    </row>
    <row r="70" spans="2:16">
      <c r="B70" s="160" t="str">
        <f t="shared" si="6"/>
        <v/>
      </c>
      <c r="C70" s="470">
        <f>IF(D11="","-",+C69+1)</f>
        <v>2061</v>
      </c>
      <c r="D70" s="483">
        <f>IF(F69+SUM(E$17:E69)=D$10,F69,D$10-SUM(E$17:E69))</f>
        <v>0</v>
      </c>
      <c r="E70" s="482">
        <f>IF(+I14&lt;F69,I14,D70)</f>
        <v>0</v>
      </c>
      <c r="F70" s="483">
        <f t="shared" si="28"/>
        <v>0</v>
      </c>
      <c r="G70" s="486">
        <f t="shared" si="26"/>
        <v>0</v>
      </c>
      <c r="H70" s="453">
        <f t="shared" si="27"/>
        <v>0</v>
      </c>
      <c r="I70" s="473">
        <f t="shared" si="29"/>
        <v>0</v>
      </c>
      <c r="J70" s="473"/>
      <c r="K70" s="485"/>
      <c r="L70" s="476">
        <f t="shared" si="30"/>
        <v>0</v>
      </c>
      <c r="M70" s="485"/>
      <c r="N70" s="476">
        <f t="shared" si="31"/>
        <v>0</v>
      </c>
      <c r="O70" s="476">
        <f t="shared" si="32"/>
        <v>0</v>
      </c>
      <c r="P70" s="241"/>
    </row>
    <row r="71" spans="2:16">
      <c r="B71" s="160" t="str">
        <f t="shared" si="6"/>
        <v/>
      </c>
      <c r="C71" s="470">
        <f>IF(D11="","-",+C70+1)</f>
        <v>2062</v>
      </c>
      <c r="D71" s="483">
        <f>IF(F70+SUM(E$17:E70)=D$10,F70,D$10-SUM(E$17:E70))</f>
        <v>0</v>
      </c>
      <c r="E71" s="482">
        <f>IF(+I14&lt;F70,I14,D71)</f>
        <v>0</v>
      </c>
      <c r="F71" s="483">
        <f t="shared" si="28"/>
        <v>0</v>
      </c>
      <c r="G71" s="486">
        <f t="shared" si="26"/>
        <v>0</v>
      </c>
      <c r="H71" s="453">
        <f t="shared" si="27"/>
        <v>0</v>
      </c>
      <c r="I71" s="473">
        <f t="shared" si="29"/>
        <v>0</v>
      </c>
      <c r="J71" s="473"/>
      <c r="K71" s="485"/>
      <c r="L71" s="476">
        <f t="shared" si="30"/>
        <v>0</v>
      </c>
      <c r="M71" s="485"/>
      <c r="N71" s="476">
        <f t="shared" si="31"/>
        <v>0</v>
      </c>
      <c r="O71" s="476">
        <f t="shared" si="32"/>
        <v>0</v>
      </c>
      <c r="P71" s="241"/>
    </row>
    <row r="72" spans="2:16" ht="13.5" thickBot="1">
      <c r="B72" s="160" t="str">
        <f t="shared" si="6"/>
        <v/>
      </c>
      <c r="C72" s="487">
        <f>IF(D11="","-",+C71+1)</f>
        <v>2063</v>
      </c>
      <c r="D72" s="488">
        <f>IF(F71+SUM(E$17:E71)=D$10,F71,D$10-SUM(E$17:E71))</f>
        <v>0</v>
      </c>
      <c r="E72" s="489">
        <f>IF(+I14&lt;F71,I14,D72)</f>
        <v>0</v>
      </c>
      <c r="F72" s="488">
        <f t="shared" si="28"/>
        <v>0</v>
      </c>
      <c r="G72" s="490">
        <f t="shared" si="26"/>
        <v>0</v>
      </c>
      <c r="H72" s="433">
        <f t="shared" si="27"/>
        <v>0</v>
      </c>
      <c r="I72" s="491">
        <f t="shared" si="29"/>
        <v>0</v>
      </c>
      <c r="J72" s="473"/>
      <c r="K72" s="492"/>
      <c r="L72" s="493">
        <f t="shared" si="30"/>
        <v>0</v>
      </c>
      <c r="M72" s="492"/>
      <c r="N72" s="493">
        <f t="shared" si="31"/>
        <v>0</v>
      </c>
      <c r="O72" s="493">
        <f t="shared" si="32"/>
        <v>0</v>
      </c>
      <c r="P72" s="241"/>
    </row>
    <row r="73" spans="2:16">
      <c r="C73" s="345" t="s">
        <v>77</v>
      </c>
      <c r="D73" s="346"/>
      <c r="E73" s="346">
        <f>SUM(E17:E72)</f>
        <v>1520501.9999999993</v>
      </c>
      <c r="F73" s="346"/>
      <c r="G73" s="346">
        <f>SUM(G17:G72)</f>
        <v>5400916.3700551447</v>
      </c>
      <c r="H73" s="346">
        <f>SUM(H17:H72)</f>
        <v>5400916.3700551447</v>
      </c>
      <c r="I73" s="346">
        <f>SUM(I17:I72)</f>
        <v>0</v>
      </c>
      <c r="J73" s="346"/>
      <c r="K73" s="346"/>
      <c r="L73" s="346"/>
      <c r="M73" s="346"/>
      <c r="N73" s="346"/>
      <c r="O73" s="241"/>
      <c r="P73" s="241"/>
    </row>
    <row r="74" spans="2:16">
      <c r="D74" s="239"/>
      <c r="E74" s="231"/>
      <c r="F74" s="231"/>
      <c r="G74" s="231"/>
      <c r="H74" s="240"/>
      <c r="I74" s="240"/>
      <c r="J74" s="346"/>
      <c r="K74" s="240"/>
      <c r="L74" s="240"/>
      <c r="M74" s="240"/>
      <c r="N74" s="240"/>
      <c r="O74" s="231"/>
      <c r="P74" s="231"/>
    </row>
    <row r="75" spans="2:16">
      <c r="C75" s="494" t="s">
        <v>106</v>
      </c>
      <c r="D75" s="239"/>
      <c r="E75" s="231"/>
      <c r="F75" s="231"/>
      <c r="G75" s="231"/>
      <c r="H75" s="240"/>
      <c r="I75" s="240"/>
      <c r="J75" s="346"/>
      <c r="K75" s="240"/>
      <c r="L75" s="240"/>
      <c r="M75" s="240"/>
      <c r="N75" s="240"/>
      <c r="O75" s="231"/>
      <c r="P75" s="231"/>
    </row>
    <row r="76" spans="2:16">
      <c r="C76" s="429" t="s">
        <v>78</v>
      </c>
      <c r="D76" s="239"/>
      <c r="E76" s="231"/>
      <c r="F76" s="231"/>
      <c r="G76" s="231"/>
      <c r="H76" s="240"/>
      <c r="I76" s="240"/>
      <c r="J76" s="346"/>
      <c r="K76" s="240"/>
      <c r="L76" s="240"/>
      <c r="M76" s="240"/>
      <c r="N76" s="240"/>
      <c r="O76" s="241"/>
      <c r="P76" s="241"/>
    </row>
    <row r="77" spans="2:16">
      <c r="C77" s="429" t="s">
        <v>79</v>
      </c>
      <c r="D77" s="345"/>
      <c r="E77" s="345"/>
      <c r="F77" s="345"/>
      <c r="G77" s="346"/>
      <c r="H77" s="346"/>
      <c r="I77" s="347"/>
      <c r="J77" s="347"/>
      <c r="K77" s="347"/>
      <c r="L77" s="347"/>
      <c r="M77" s="347"/>
      <c r="N77" s="347"/>
      <c r="O77" s="241"/>
      <c r="P77" s="241"/>
    </row>
    <row r="78" spans="2:16">
      <c r="C78" s="429"/>
      <c r="D78" s="345"/>
      <c r="E78" s="345"/>
      <c r="F78" s="345"/>
      <c r="G78" s="346"/>
      <c r="H78" s="346"/>
      <c r="I78" s="347"/>
      <c r="J78" s="347"/>
      <c r="K78" s="347"/>
      <c r="L78" s="347"/>
      <c r="M78" s="347"/>
      <c r="N78" s="347"/>
      <c r="O78" s="241"/>
      <c r="P78" s="231"/>
    </row>
    <row r="79" spans="2:16">
      <c r="B79" s="231"/>
      <c r="C79" s="310"/>
      <c r="D79" s="239"/>
      <c r="E79" s="231"/>
      <c r="F79" s="343"/>
      <c r="G79" s="231"/>
      <c r="H79" s="240"/>
      <c r="I79" s="231"/>
      <c r="J79" s="241"/>
      <c r="K79" s="231"/>
      <c r="L79" s="231"/>
      <c r="M79" s="231"/>
      <c r="N79" s="231"/>
      <c r="O79" s="231"/>
      <c r="P79" s="231"/>
    </row>
    <row r="80" spans="2:16" ht="18">
      <c r="B80" s="231"/>
      <c r="C80" s="497"/>
      <c r="D80" s="239"/>
      <c r="E80" s="231"/>
      <c r="F80" s="343"/>
      <c r="G80" s="231"/>
      <c r="H80" s="240"/>
      <c r="I80" s="231"/>
      <c r="J80" s="241"/>
      <c r="K80" s="231"/>
      <c r="L80" s="231"/>
      <c r="M80" s="231"/>
      <c r="N80" s="231"/>
      <c r="P80" s="498" t="s">
        <v>144</v>
      </c>
    </row>
    <row r="81" spans="1:16">
      <c r="B81" s="231"/>
      <c r="C81" s="310"/>
      <c r="D81" s="239"/>
      <c r="E81" s="231"/>
      <c r="F81" s="343"/>
      <c r="G81" s="231"/>
      <c r="H81" s="240"/>
      <c r="I81" s="231"/>
      <c r="J81" s="241"/>
      <c r="K81" s="231"/>
      <c r="L81" s="231"/>
      <c r="M81" s="231"/>
      <c r="N81" s="231"/>
      <c r="O81" s="231"/>
      <c r="P81" s="231"/>
    </row>
    <row r="82" spans="1:16">
      <c r="B82" s="231"/>
      <c r="C82" s="310"/>
      <c r="D82" s="239"/>
      <c r="E82" s="231"/>
      <c r="F82" s="343"/>
      <c r="G82" s="231"/>
      <c r="H82" s="240"/>
      <c r="I82" s="231"/>
      <c r="J82" s="241"/>
      <c r="K82" s="231"/>
      <c r="L82" s="231"/>
      <c r="M82" s="231"/>
      <c r="N82" s="231"/>
      <c r="O82" s="231"/>
      <c r="P82" s="231"/>
    </row>
    <row r="83" spans="1:16" ht="20.25">
      <c r="A83" s="413" t="s">
        <v>146</v>
      </c>
      <c r="B83" s="231"/>
      <c r="C83" s="310"/>
      <c r="D83" s="239"/>
      <c r="E83" s="231"/>
      <c r="F83" s="337"/>
      <c r="G83" s="337"/>
      <c r="H83" s="231"/>
      <c r="I83" s="240"/>
      <c r="K83" s="194"/>
      <c r="L83" s="414"/>
      <c r="M83" s="414"/>
      <c r="P83" s="495" t="str">
        <f ca="1">P1</f>
        <v>PSO Project 6 of 33</v>
      </c>
    </row>
    <row r="84" spans="1:16" ht="18">
      <c r="B84" s="231"/>
      <c r="C84" s="231"/>
      <c r="D84" s="239"/>
      <c r="E84" s="231"/>
      <c r="F84" s="231"/>
      <c r="G84" s="231"/>
      <c r="H84" s="231"/>
      <c r="I84" s="240"/>
      <c r="J84" s="231"/>
      <c r="K84" s="241"/>
      <c r="L84" s="231"/>
      <c r="M84" s="231"/>
      <c r="P84" s="416" t="s">
        <v>151</v>
      </c>
    </row>
    <row r="85" spans="1:16" ht="18.75" thickBot="1">
      <c r="B85" s="301" t="s">
        <v>42</v>
      </c>
      <c r="C85" s="499" t="s">
        <v>91</v>
      </c>
      <c r="D85" s="239"/>
      <c r="E85" s="231"/>
      <c r="F85" s="231"/>
      <c r="G85" s="231"/>
      <c r="H85" s="231"/>
      <c r="I85" s="240"/>
      <c r="J85" s="240"/>
      <c r="K85" s="346"/>
      <c r="L85" s="240"/>
      <c r="M85" s="240"/>
      <c r="N85" s="240"/>
      <c r="O85" s="346"/>
      <c r="P85" s="231"/>
    </row>
    <row r="86" spans="1:16" ht="15.75" thickBot="1">
      <c r="C86" s="300"/>
      <c r="D86" s="239"/>
      <c r="E86" s="231"/>
      <c r="F86" s="231"/>
      <c r="G86" s="231"/>
      <c r="H86" s="231"/>
      <c r="I86" s="240"/>
      <c r="J86" s="240"/>
      <c r="K86" s="346"/>
      <c r="L86" s="500">
        <f>+J92</f>
        <v>2022</v>
      </c>
      <c r="M86" s="501" t="s">
        <v>8</v>
      </c>
      <c r="N86" s="502" t="s">
        <v>153</v>
      </c>
      <c r="O86" s="503" t="s">
        <v>10</v>
      </c>
      <c r="P86" s="231"/>
    </row>
    <row r="87" spans="1:16" ht="15">
      <c r="C87" s="238" t="s">
        <v>44</v>
      </c>
      <c r="D87" s="239"/>
      <c r="E87" s="231"/>
      <c r="F87" s="231"/>
      <c r="G87" s="231"/>
      <c r="H87" s="419"/>
      <c r="I87" s="231" t="s">
        <v>45</v>
      </c>
      <c r="J87" s="231"/>
      <c r="K87" s="504"/>
      <c r="L87" s="505" t="s">
        <v>154</v>
      </c>
      <c r="M87" s="506">
        <f>IF(J92&lt;D11,0,VLOOKUP(J92,C17:O72,9))</f>
        <v>150148.14020254629</v>
      </c>
      <c r="N87" s="506">
        <f>IF(J92&lt;D11,0,VLOOKUP(J92,C17:O72,11))</f>
        <v>150148.14020254629</v>
      </c>
      <c r="O87" s="507">
        <f>+N87-M87</f>
        <v>0</v>
      </c>
      <c r="P87" s="231"/>
    </row>
    <row r="88" spans="1:16" ht="15.75">
      <c r="C88" s="243"/>
      <c r="D88" s="239"/>
      <c r="E88" s="231"/>
      <c r="F88" s="231"/>
      <c r="G88" s="231"/>
      <c r="H88" s="231"/>
      <c r="I88" s="424"/>
      <c r="J88" s="424"/>
      <c r="K88" s="508"/>
      <c r="L88" s="509" t="s">
        <v>155</v>
      </c>
      <c r="M88" s="510">
        <f>IF(J92&lt;D11,0,VLOOKUP(J92,C99:P154,6))</f>
        <v>156630.9466717566</v>
      </c>
      <c r="N88" s="510">
        <f>IF(J92&lt;D11,0,VLOOKUP(J92,C99:P154,7))</f>
        <v>156630.9466717566</v>
      </c>
      <c r="O88" s="511">
        <f>+N88-M88</f>
        <v>0</v>
      </c>
      <c r="P88" s="231"/>
    </row>
    <row r="89" spans="1:16" ht="13.5" thickBot="1">
      <c r="C89" s="429" t="s">
        <v>92</v>
      </c>
      <c r="D89" s="512" t="str">
        <f>+D7</f>
        <v>Pryor Junction 138/69 Upgrade Transf</v>
      </c>
      <c r="E89" s="231"/>
      <c r="F89" s="231"/>
      <c r="G89" s="231"/>
      <c r="H89" s="231"/>
      <c r="I89" s="240"/>
      <c r="J89" s="240"/>
      <c r="K89" s="513"/>
      <c r="L89" s="514" t="s">
        <v>156</v>
      </c>
      <c r="M89" s="515">
        <f>+M88-M87</f>
        <v>6482.8064692103071</v>
      </c>
      <c r="N89" s="515">
        <f>+N88-N87</f>
        <v>6482.8064692103071</v>
      </c>
      <c r="O89" s="516">
        <f>+O88-O87</f>
        <v>0</v>
      </c>
      <c r="P89" s="231"/>
    </row>
    <row r="90" spans="1:16" ht="13.5" thickBot="1">
      <c r="C90" s="494"/>
      <c r="D90" s="517">
        <f>D8</f>
        <v>0</v>
      </c>
      <c r="E90" s="343"/>
      <c r="F90" s="343"/>
      <c r="G90" s="343"/>
      <c r="H90" s="436"/>
      <c r="I90" s="240"/>
      <c r="J90" s="240"/>
      <c r="K90" s="346"/>
      <c r="L90" s="240"/>
      <c r="M90" s="240"/>
      <c r="N90" s="240"/>
      <c r="O90" s="346"/>
      <c r="P90" s="231"/>
    </row>
    <row r="91" spans="1:16" ht="13.5" thickBot="1">
      <c r="A91" s="155"/>
      <c r="C91" s="518" t="s">
        <v>93</v>
      </c>
      <c r="D91" s="519" t="str">
        <f>+D9</f>
        <v>TP2006090</v>
      </c>
      <c r="E91" s="520"/>
      <c r="F91" s="520"/>
      <c r="G91" s="520"/>
      <c r="H91" s="520"/>
      <c r="I91" s="520"/>
      <c r="J91" s="520"/>
      <c r="K91" s="522"/>
      <c r="P91" s="443"/>
    </row>
    <row r="92" spans="1:16">
      <c r="C92" s="444" t="s">
        <v>226</v>
      </c>
      <c r="D92" s="445">
        <v>1520502</v>
      </c>
      <c r="E92" s="310" t="s">
        <v>94</v>
      </c>
      <c r="H92" s="446"/>
      <c r="I92" s="446"/>
      <c r="J92" s="447">
        <f>+'PSO.WS.G.BPU.ATRR.True-up'!M16</f>
        <v>2022</v>
      </c>
      <c r="K92" s="442"/>
      <c r="L92" s="346" t="s">
        <v>95</v>
      </c>
      <c r="P92" s="241"/>
    </row>
    <row r="93" spans="1:16">
      <c r="C93" s="448" t="s">
        <v>53</v>
      </c>
      <c r="D93" s="523">
        <f>IF(D11=I10,"",D11)</f>
        <v>2008</v>
      </c>
      <c r="E93" s="448" t="s">
        <v>54</v>
      </c>
      <c r="F93" s="446"/>
      <c r="G93" s="446"/>
      <c r="J93" s="450">
        <f>IF(H87="",0,'PSO.WS.G.BPU.ATRR.True-up'!$F$13)</f>
        <v>0</v>
      </c>
      <c r="K93" s="451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1"/>
    </row>
    <row r="94" spans="1:16">
      <c r="C94" s="448" t="s">
        <v>55</v>
      </c>
      <c r="D94" s="524">
        <f>IF(D11=I10,"",D12)</f>
        <v>4</v>
      </c>
      <c r="E94" s="448" t="s">
        <v>56</v>
      </c>
      <c r="F94" s="446"/>
      <c r="G94" s="446"/>
      <c r="J94" s="452">
        <f>'PSO.WS.G.BPU.ATRR.True-up'!$F$81</f>
        <v>0.11379279303146381</v>
      </c>
      <c r="K94" s="394"/>
      <c r="L94" s="148" t="s">
        <v>96</v>
      </c>
      <c r="P94" s="241"/>
    </row>
    <row r="95" spans="1:16">
      <c r="C95" s="448" t="s">
        <v>58</v>
      </c>
      <c r="D95" s="450">
        <f>'PSO.WS.G.BPU.ATRR.True-up'!F$93</f>
        <v>41</v>
      </c>
      <c r="E95" s="448" t="s">
        <v>59</v>
      </c>
      <c r="F95" s="446"/>
      <c r="G95" s="446"/>
      <c r="J95" s="452">
        <f>IF(H87="",J94,'PSO.WS.G.BPU.ATRR.True-up'!$F$80)</f>
        <v>0.11379279303146381</v>
      </c>
      <c r="K95" s="293"/>
      <c r="L95" s="346" t="s">
        <v>60</v>
      </c>
      <c r="M95" s="293"/>
      <c r="N95" s="293"/>
      <c r="O95" s="293"/>
      <c r="P95" s="241"/>
    </row>
    <row r="96" spans="1:16" ht="13.5" thickBot="1">
      <c r="C96" s="448" t="s">
        <v>61</v>
      </c>
      <c r="D96" s="525" t="str">
        <f>+D14</f>
        <v>No</v>
      </c>
      <c r="E96" s="526" t="s">
        <v>63</v>
      </c>
      <c r="F96" s="527"/>
      <c r="G96" s="527"/>
      <c r="H96" s="528"/>
      <c r="I96" s="528"/>
      <c r="J96" s="433">
        <f>IF(D92=0,0,ROUND(D92/D95,0))</f>
        <v>37085</v>
      </c>
      <c r="K96" s="346"/>
      <c r="L96" s="346"/>
      <c r="M96" s="346"/>
      <c r="N96" s="346"/>
      <c r="O96" s="346"/>
      <c r="P96" s="241"/>
    </row>
    <row r="97" spans="1:16" ht="38.25">
      <c r="A97" s="372"/>
      <c r="B97" s="372"/>
      <c r="C97" s="529" t="s">
        <v>50</v>
      </c>
      <c r="D97" s="530" t="s">
        <v>64</v>
      </c>
      <c r="E97" s="461" t="s">
        <v>65</v>
      </c>
      <c r="F97" s="461" t="s">
        <v>66</v>
      </c>
      <c r="G97" s="455" t="s">
        <v>101</v>
      </c>
      <c r="H97" s="531" t="s">
        <v>286</v>
      </c>
      <c r="I97" s="459" t="s">
        <v>287</v>
      </c>
      <c r="J97" s="529" t="s">
        <v>98</v>
      </c>
      <c r="K97" s="532"/>
      <c r="L97" s="459" t="s">
        <v>211</v>
      </c>
      <c r="M97" s="461" t="s">
        <v>99</v>
      </c>
      <c r="N97" s="459" t="s">
        <v>211</v>
      </c>
      <c r="O97" s="461" t="s">
        <v>99</v>
      </c>
      <c r="P97" s="461" t="s">
        <v>69</v>
      </c>
    </row>
    <row r="98" spans="1:16" ht="13.5" thickBot="1">
      <c r="C98" s="462" t="s">
        <v>70</v>
      </c>
      <c r="D98" s="533" t="s">
        <v>71</v>
      </c>
      <c r="E98" s="462" t="s">
        <v>72</v>
      </c>
      <c r="F98" s="462" t="s">
        <v>71</v>
      </c>
      <c r="G98" s="462" t="s">
        <v>71</v>
      </c>
      <c r="H98" s="534" t="s">
        <v>73</v>
      </c>
      <c r="I98" s="464" t="s">
        <v>74</v>
      </c>
      <c r="J98" s="465" t="s">
        <v>104</v>
      </c>
      <c r="K98" s="466"/>
      <c r="L98" s="467" t="s">
        <v>76</v>
      </c>
      <c r="M98" s="467" t="s">
        <v>76</v>
      </c>
      <c r="N98" s="467" t="s">
        <v>105</v>
      </c>
      <c r="O98" s="467" t="s">
        <v>105</v>
      </c>
      <c r="P98" s="467" t="s">
        <v>105</v>
      </c>
    </row>
    <row r="99" spans="1:16">
      <c r="C99" s="470">
        <f>IF(D93= "","-",D93)</f>
        <v>2008</v>
      </c>
      <c r="D99" s="471">
        <v>0</v>
      </c>
      <c r="E99" s="478">
        <v>19125</v>
      </c>
      <c r="F99" s="477">
        <v>1501348</v>
      </c>
      <c r="G99" s="535">
        <v>750764</v>
      </c>
      <c r="H99" s="536">
        <v>138367</v>
      </c>
      <c r="I99" s="537">
        <v>138367</v>
      </c>
      <c r="J99" s="476">
        <f t="shared" ref="J99:J130" si="33">+I99-H99</f>
        <v>0</v>
      </c>
      <c r="K99" s="476"/>
      <c r="L99" s="552">
        <v>138367</v>
      </c>
      <c r="M99" s="475">
        <f t="shared" ref="M99:M130" si="34">IF(L99&lt;&gt;0,+H99-L99,0)</f>
        <v>0</v>
      </c>
      <c r="N99" s="552">
        <v>138367</v>
      </c>
      <c r="O99" s="475">
        <f t="shared" ref="O99:O130" si="35">IF(N99&lt;&gt;0,+I99-N99,0)</f>
        <v>0</v>
      </c>
      <c r="P99" s="475">
        <f t="shared" ref="P99:P130" si="36">+O99-M99</f>
        <v>0</v>
      </c>
    </row>
    <row r="100" spans="1:16">
      <c r="B100" s="160" t="str">
        <f>IF(D100=F99,"","IU")</f>
        <v>IU</v>
      </c>
      <c r="C100" s="470">
        <f>IF(D93="","-",+C99+1)</f>
        <v>2009</v>
      </c>
      <c r="D100" s="471">
        <v>1501377</v>
      </c>
      <c r="E100" s="478">
        <v>27152</v>
      </c>
      <c r="F100" s="477">
        <v>1474225</v>
      </c>
      <c r="G100" s="477">
        <v>1487801</v>
      </c>
      <c r="H100" s="478">
        <v>244680.82784018715</v>
      </c>
      <c r="I100" s="479">
        <v>244680.82784018715</v>
      </c>
      <c r="J100" s="476">
        <f t="shared" si="33"/>
        <v>0</v>
      </c>
      <c r="K100" s="476"/>
      <c r="L100" s="538">
        <f t="shared" ref="L100:L105" si="37">H100</f>
        <v>244680.82784018715</v>
      </c>
      <c r="M100" s="539">
        <f t="shared" si="34"/>
        <v>0</v>
      </c>
      <c r="N100" s="538">
        <f t="shared" ref="N100:N105" si="38">I100</f>
        <v>244680.82784018715</v>
      </c>
      <c r="O100" s="476">
        <f t="shared" si="35"/>
        <v>0</v>
      </c>
      <c r="P100" s="476">
        <f t="shared" si="36"/>
        <v>0</v>
      </c>
    </row>
    <row r="101" spans="1:16">
      <c r="B101" s="160" t="str">
        <f t="shared" ref="B101:B154" si="39">IF(D101=F100,"","IU")</f>
        <v/>
      </c>
      <c r="C101" s="470">
        <f>IF(D93="","-",+C100+1)</f>
        <v>2010</v>
      </c>
      <c r="D101" s="471">
        <v>1474225</v>
      </c>
      <c r="E101" s="478">
        <v>29814</v>
      </c>
      <c r="F101" s="477">
        <v>1444411</v>
      </c>
      <c r="G101" s="477">
        <v>1459318</v>
      </c>
      <c r="H101" s="478">
        <v>264494.5477733505</v>
      </c>
      <c r="I101" s="479">
        <v>264494.5477733505</v>
      </c>
      <c r="J101" s="476">
        <f t="shared" si="33"/>
        <v>0</v>
      </c>
      <c r="K101" s="476"/>
      <c r="L101" s="538">
        <f t="shared" si="37"/>
        <v>264494.5477733505</v>
      </c>
      <c r="M101" s="539">
        <f t="shared" si="34"/>
        <v>0</v>
      </c>
      <c r="N101" s="538">
        <f t="shared" si="38"/>
        <v>264494.5477733505</v>
      </c>
      <c r="O101" s="476">
        <f t="shared" si="35"/>
        <v>0</v>
      </c>
      <c r="P101" s="476">
        <f t="shared" si="36"/>
        <v>0</v>
      </c>
    </row>
    <row r="102" spans="1:16">
      <c r="B102" s="160" t="str">
        <f t="shared" si="39"/>
        <v/>
      </c>
      <c r="C102" s="470">
        <f>IF(D93="","-",+C101+1)</f>
        <v>2011</v>
      </c>
      <c r="D102" s="471">
        <v>1444411</v>
      </c>
      <c r="E102" s="478">
        <v>29240</v>
      </c>
      <c r="F102" s="477">
        <v>1415171</v>
      </c>
      <c r="G102" s="477">
        <v>1429791</v>
      </c>
      <c r="H102" s="478">
        <v>229143.9952359481</v>
      </c>
      <c r="I102" s="479">
        <v>229143.9952359481</v>
      </c>
      <c r="J102" s="476">
        <f t="shared" si="33"/>
        <v>0</v>
      </c>
      <c r="K102" s="476"/>
      <c r="L102" s="538">
        <f t="shared" si="37"/>
        <v>229143.9952359481</v>
      </c>
      <c r="M102" s="539">
        <f t="shared" si="34"/>
        <v>0</v>
      </c>
      <c r="N102" s="538">
        <f t="shared" si="38"/>
        <v>229143.9952359481</v>
      </c>
      <c r="O102" s="476">
        <f t="shared" si="35"/>
        <v>0</v>
      </c>
      <c r="P102" s="476">
        <f t="shared" si="36"/>
        <v>0</v>
      </c>
    </row>
    <row r="103" spans="1:16">
      <c r="B103" s="160" t="str">
        <f t="shared" si="39"/>
        <v/>
      </c>
      <c r="C103" s="470">
        <f>IF(D93="","-",+C102+1)</f>
        <v>2012</v>
      </c>
      <c r="D103" s="471">
        <v>1415171</v>
      </c>
      <c r="E103" s="478">
        <v>29240</v>
      </c>
      <c r="F103" s="477">
        <v>1385931</v>
      </c>
      <c r="G103" s="477">
        <v>1400551</v>
      </c>
      <c r="H103" s="478">
        <v>230716.93888695308</v>
      </c>
      <c r="I103" s="479">
        <v>230716.93888695308</v>
      </c>
      <c r="J103" s="476">
        <v>0</v>
      </c>
      <c r="K103" s="476"/>
      <c r="L103" s="538">
        <f t="shared" si="37"/>
        <v>230716.93888695308</v>
      </c>
      <c r="M103" s="539">
        <f t="shared" ref="M103:M108" si="40">IF(L103&lt;&gt;0,+H103-L103,0)</f>
        <v>0</v>
      </c>
      <c r="N103" s="538">
        <f t="shared" si="38"/>
        <v>230716.93888695308</v>
      </c>
      <c r="O103" s="476">
        <f t="shared" ref="O103:O108" si="41">IF(N103&lt;&gt;0,+I103-N103,0)</f>
        <v>0</v>
      </c>
      <c r="P103" s="476">
        <f t="shared" ref="P103:P108" si="42">+O103-M103</f>
        <v>0</v>
      </c>
    </row>
    <row r="104" spans="1:16">
      <c r="B104" s="160" t="str">
        <f t="shared" si="39"/>
        <v/>
      </c>
      <c r="C104" s="470">
        <f>IF(D93="","-",+C103+1)</f>
        <v>2013</v>
      </c>
      <c r="D104" s="471">
        <v>1385931</v>
      </c>
      <c r="E104" s="478">
        <v>29240</v>
      </c>
      <c r="F104" s="477">
        <v>1356691</v>
      </c>
      <c r="G104" s="477">
        <v>1371311</v>
      </c>
      <c r="H104" s="478">
        <v>226625.94850487544</v>
      </c>
      <c r="I104" s="479">
        <v>226625.94850487544</v>
      </c>
      <c r="J104" s="476">
        <v>0</v>
      </c>
      <c r="K104" s="476"/>
      <c r="L104" s="538">
        <f t="shared" si="37"/>
        <v>226625.94850487544</v>
      </c>
      <c r="M104" s="539">
        <f t="shared" si="40"/>
        <v>0</v>
      </c>
      <c r="N104" s="538">
        <f t="shared" si="38"/>
        <v>226625.94850487544</v>
      </c>
      <c r="O104" s="476">
        <f t="shared" si="41"/>
        <v>0</v>
      </c>
      <c r="P104" s="476">
        <f t="shared" si="42"/>
        <v>0</v>
      </c>
    </row>
    <row r="105" spans="1:16">
      <c r="B105" s="160" t="str">
        <f t="shared" si="39"/>
        <v/>
      </c>
      <c r="C105" s="470">
        <f>IF(D93="","-",+C104+1)</f>
        <v>2014</v>
      </c>
      <c r="D105" s="471">
        <v>1356691</v>
      </c>
      <c r="E105" s="478">
        <v>29240</v>
      </c>
      <c r="F105" s="477">
        <v>1327451</v>
      </c>
      <c r="G105" s="477">
        <v>1342071</v>
      </c>
      <c r="H105" s="478">
        <v>217929.69653942893</v>
      </c>
      <c r="I105" s="479">
        <v>217929.69653942893</v>
      </c>
      <c r="J105" s="476">
        <v>0</v>
      </c>
      <c r="K105" s="476"/>
      <c r="L105" s="538">
        <f t="shared" si="37"/>
        <v>217929.69653942893</v>
      </c>
      <c r="M105" s="539">
        <f t="shared" si="40"/>
        <v>0</v>
      </c>
      <c r="N105" s="538">
        <f t="shared" si="38"/>
        <v>217929.69653942893</v>
      </c>
      <c r="O105" s="476">
        <f t="shared" si="41"/>
        <v>0</v>
      </c>
      <c r="P105" s="476">
        <f t="shared" si="42"/>
        <v>0</v>
      </c>
    </row>
    <row r="106" spans="1:16">
      <c r="B106" s="160" t="str">
        <f t="shared" si="39"/>
        <v/>
      </c>
      <c r="C106" s="470">
        <f>IF(D93="","-",+C105+1)</f>
        <v>2015</v>
      </c>
      <c r="D106" s="471">
        <v>1327451</v>
      </c>
      <c r="E106" s="478">
        <v>29240</v>
      </c>
      <c r="F106" s="477">
        <v>1298211</v>
      </c>
      <c r="G106" s="477">
        <v>1312831</v>
      </c>
      <c r="H106" s="478">
        <v>208365.23426858318</v>
      </c>
      <c r="I106" s="479">
        <v>208365.23426858318</v>
      </c>
      <c r="J106" s="476">
        <f t="shared" si="33"/>
        <v>0</v>
      </c>
      <c r="K106" s="476"/>
      <c r="L106" s="538">
        <f t="shared" ref="L106:L111" si="43">H106</f>
        <v>208365.23426858318</v>
      </c>
      <c r="M106" s="539">
        <f t="shared" si="40"/>
        <v>0</v>
      </c>
      <c r="N106" s="538">
        <f t="shared" ref="N106:N111" si="44">I106</f>
        <v>208365.23426858318</v>
      </c>
      <c r="O106" s="476">
        <f t="shared" si="41"/>
        <v>0</v>
      </c>
      <c r="P106" s="476">
        <f t="shared" si="42"/>
        <v>0</v>
      </c>
    </row>
    <row r="107" spans="1:16">
      <c r="B107" s="160" t="str">
        <f t="shared" si="39"/>
        <v/>
      </c>
      <c r="C107" s="470">
        <f>IF(D93="","-",+C106+1)</f>
        <v>2016</v>
      </c>
      <c r="D107" s="471">
        <v>1298211</v>
      </c>
      <c r="E107" s="478">
        <v>33054</v>
      </c>
      <c r="F107" s="477">
        <v>1265157</v>
      </c>
      <c r="G107" s="477">
        <v>1281684</v>
      </c>
      <c r="H107" s="478">
        <v>198283.25268027262</v>
      </c>
      <c r="I107" s="479">
        <v>198283.25268027262</v>
      </c>
      <c r="J107" s="476">
        <f t="shared" si="33"/>
        <v>0</v>
      </c>
      <c r="K107" s="476"/>
      <c r="L107" s="538">
        <f t="shared" si="43"/>
        <v>198283.25268027262</v>
      </c>
      <c r="M107" s="539">
        <f t="shared" si="40"/>
        <v>0</v>
      </c>
      <c r="N107" s="538">
        <f t="shared" si="44"/>
        <v>198283.25268027262</v>
      </c>
      <c r="O107" s="476">
        <f t="shared" si="41"/>
        <v>0</v>
      </c>
      <c r="P107" s="476">
        <f t="shared" si="42"/>
        <v>0</v>
      </c>
    </row>
    <row r="108" spans="1:16">
      <c r="B108" s="160" t="str">
        <f t="shared" si="39"/>
        <v/>
      </c>
      <c r="C108" s="470">
        <f>IF(D93="","-",+C107+1)</f>
        <v>2017</v>
      </c>
      <c r="D108" s="471">
        <v>1265157</v>
      </c>
      <c r="E108" s="478">
        <v>33054</v>
      </c>
      <c r="F108" s="477">
        <v>1232103</v>
      </c>
      <c r="G108" s="477">
        <v>1248630</v>
      </c>
      <c r="H108" s="478">
        <v>191445.86392166355</v>
      </c>
      <c r="I108" s="479">
        <v>191445.86392166355</v>
      </c>
      <c r="J108" s="476">
        <f t="shared" si="33"/>
        <v>0</v>
      </c>
      <c r="K108" s="476"/>
      <c r="L108" s="538">
        <f t="shared" si="43"/>
        <v>191445.86392166355</v>
      </c>
      <c r="M108" s="539">
        <f t="shared" si="40"/>
        <v>0</v>
      </c>
      <c r="N108" s="538">
        <f t="shared" si="44"/>
        <v>191445.86392166355</v>
      </c>
      <c r="O108" s="476">
        <f t="shared" si="41"/>
        <v>0</v>
      </c>
      <c r="P108" s="476">
        <f t="shared" si="42"/>
        <v>0</v>
      </c>
    </row>
    <row r="109" spans="1:16">
      <c r="B109" s="160" t="str">
        <f t="shared" si="39"/>
        <v/>
      </c>
      <c r="C109" s="470">
        <f>IF(D93="","-",+C108+1)</f>
        <v>2018</v>
      </c>
      <c r="D109" s="471">
        <v>1232103</v>
      </c>
      <c r="E109" s="478">
        <v>35361</v>
      </c>
      <c r="F109" s="477">
        <v>1196742</v>
      </c>
      <c r="G109" s="477">
        <v>1214422.5</v>
      </c>
      <c r="H109" s="478">
        <v>160125.3839048628</v>
      </c>
      <c r="I109" s="479">
        <v>160125.3839048628</v>
      </c>
      <c r="J109" s="476">
        <f t="shared" si="33"/>
        <v>0</v>
      </c>
      <c r="K109" s="476"/>
      <c r="L109" s="538">
        <f t="shared" si="43"/>
        <v>160125.3839048628</v>
      </c>
      <c r="M109" s="539">
        <f t="shared" ref="M109" si="45">IF(L109&lt;&gt;0,+H109-L109,0)</f>
        <v>0</v>
      </c>
      <c r="N109" s="538">
        <f t="shared" si="44"/>
        <v>160125.3839048628</v>
      </c>
      <c r="O109" s="476">
        <f t="shared" ref="O109" si="46">IF(N109&lt;&gt;0,+I109-N109,0)</f>
        <v>0</v>
      </c>
      <c r="P109" s="476">
        <f t="shared" ref="P109" si="47">+O109-M109</f>
        <v>0</v>
      </c>
    </row>
    <row r="110" spans="1:16">
      <c r="B110" s="160" t="str">
        <f t="shared" si="39"/>
        <v/>
      </c>
      <c r="C110" s="470">
        <f>IF(D93="","-",+C109+1)</f>
        <v>2019</v>
      </c>
      <c r="D110" s="471">
        <v>1196742</v>
      </c>
      <c r="E110" s="478">
        <v>37085</v>
      </c>
      <c r="F110" s="477">
        <v>1159657</v>
      </c>
      <c r="G110" s="477">
        <v>1178199.5</v>
      </c>
      <c r="H110" s="478">
        <v>158573.89397118561</v>
      </c>
      <c r="I110" s="479">
        <v>158573.89397118561</v>
      </c>
      <c r="J110" s="476">
        <f t="shared" si="33"/>
        <v>0</v>
      </c>
      <c r="K110" s="476"/>
      <c r="L110" s="538">
        <f t="shared" si="43"/>
        <v>158573.89397118561</v>
      </c>
      <c r="M110" s="539">
        <f t="shared" ref="M110:M111" si="48">IF(L110&lt;&gt;0,+H110-L110,0)</f>
        <v>0</v>
      </c>
      <c r="N110" s="538">
        <f t="shared" si="44"/>
        <v>158573.89397118561</v>
      </c>
      <c r="O110" s="476">
        <f t="shared" si="35"/>
        <v>0</v>
      </c>
      <c r="P110" s="476">
        <f t="shared" si="36"/>
        <v>0</v>
      </c>
    </row>
    <row r="111" spans="1:16">
      <c r="B111" s="160" t="str">
        <f t="shared" si="39"/>
        <v/>
      </c>
      <c r="C111" s="470">
        <f>IF(D93="","-",+C110+1)</f>
        <v>2020</v>
      </c>
      <c r="D111" s="471">
        <v>1159657</v>
      </c>
      <c r="E111" s="478">
        <v>35361</v>
      </c>
      <c r="F111" s="477">
        <v>1124296</v>
      </c>
      <c r="G111" s="477">
        <v>1141976.5</v>
      </c>
      <c r="H111" s="478">
        <v>167027.75084448946</v>
      </c>
      <c r="I111" s="479">
        <v>167027.75084448946</v>
      </c>
      <c r="J111" s="476">
        <f t="shared" si="33"/>
        <v>0</v>
      </c>
      <c r="K111" s="476"/>
      <c r="L111" s="538">
        <f t="shared" si="43"/>
        <v>167027.75084448946</v>
      </c>
      <c r="M111" s="539">
        <f t="shared" si="48"/>
        <v>0</v>
      </c>
      <c r="N111" s="538">
        <f t="shared" si="44"/>
        <v>167027.75084448946</v>
      </c>
      <c r="O111" s="476">
        <f t="shared" si="35"/>
        <v>0</v>
      </c>
      <c r="P111" s="476">
        <f t="shared" si="36"/>
        <v>0</v>
      </c>
    </row>
    <row r="112" spans="1:16">
      <c r="B112" s="160" t="str">
        <f t="shared" si="39"/>
        <v/>
      </c>
      <c r="C112" s="470">
        <f>IF(D93="","-",+C111+1)</f>
        <v>2021</v>
      </c>
      <c r="D112" s="471">
        <v>1124296</v>
      </c>
      <c r="E112" s="478">
        <v>37085</v>
      </c>
      <c r="F112" s="477">
        <v>1087211</v>
      </c>
      <c r="G112" s="477">
        <v>1105753.5</v>
      </c>
      <c r="H112" s="478">
        <v>162911.77916931669</v>
      </c>
      <c r="I112" s="479">
        <v>162911.77916931669</v>
      </c>
      <c r="J112" s="476">
        <f t="shared" si="33"/>
        <v>0</v>
      </c>
      <c r="K112" s="476"/>
      <c r="L112" s="538">
        <f t="shared" ref="L112" si="49">H112</f>
        <v>162911.77916931669</v>
      </c>
      <c r="M112" s="539">
        <f t="shared" ref="M112" si="50">IF(L112&lt;&gt;0,+H112-L112,0)</f>
        <v>0</v>
      </c>
      <c r="N112" s="538">
        <f t="shared" ref="N112" si="51">I112</f>
        <v>162911.77916931669</v>
      </c>
      <c r="O112" s="476">
        <f t="shared" ref="O112" si="52">IF(N112&lt;&gt;0,+I112-N112,0)</f>
        <v>0</v>
      </c>
      <c r="P112" s="476">
        <f t="shared" ref="P112" si="53">+O112-M112</f>
        <v>0</v>
      </c>
    </row>
    <row r="113" spans="2:16">
      <c r="B113" s="160" t="str">
        <f t="shared" si="39"/>
        <v/>
      </c>
      <c r="C113" s="631">
        <f>IF(D93="","-",+C112+1)</f>
        <v>2022</v>
      </c>
      <c r="D113" s="345">
        <v>1087211</v>
      </c>
      <c r="E113" s="484">
        <v>38987</v>
      </c>
      <c r="F113" s="483">
        <v>1048224</v>
      </c>
      <c r="G113" s="483">
        <v>1067717.5</v>
      </c>
      <c r="H113" s="486">
        <v>156630.9466717566</v>
      </c>
      <c r="I113" s="540">
        <v>156630.9466717566</v>
      </c>
      <c r="J113" s="476">
        <f t="shared" si="33"/>
        <v>0</v>
      </c>
      <c r="K113" s="476"/>
      <c r="L113" s="485"/>
      <c r="M113" s="476">
        <f t="shared" si="34"/>
        <v>0</v>
      </c>
      <c r="N113" s="485"/>
      <c r="O113" s="476">
        <f t="shared" si="35"/>
        <v>0</v>
      </c>
      <c r="P113" s="476">
        <f t="shared" si="36"/>
        <v>0</v>
      </c>
    </row>
    <row r="114" spans="2:16">
      <c r="B114" s="160" t="str">
        <f t="shared" si="39"/>
        <v/>
      </c>
      <c r="C114" s="470">
        <f>IF(D93="","-",+C113+1)</f>
        <v>2023</v>
      </c>
      <c r="D114" s="345">
        <f>IF(F113+SUM(E$99:E113)=D$92,F113,D$92-SUM(E$99:E113))</f>
        <v>1048224</v>
      </c>
      <c r="E114" s="484">
        <f>IF(+J96&lt;F113,J96,D114)</f>
        <v>37085</v>
      </c>
      <c r="F114" s="483">
        <f t="shared" ref="F114:F130" si="54">+D114-E114</f>
        <v>1011139</v>
      </c>
      <c r="G114" s="483">
        <f t="shared" ref="G114:G130" si="55">+(F114+D114)/2</f>
        <v>1029681.5</v>
      </c>
      <c r="H114" s="486">
        <f t="shared" ref="H114:H154" si="56">+J$94*G114+E114</f>
        <v>154255.3338178272</v>
      </c>
      <c r="I114" s="540">
        <f t="shared" ref="I114:I154" si="57">+J$95*G114+E114</f>
        <v>154255.3338178272</v>
      </c>
      <c r="J114" s="476">
        <f t="shared" si="33"/>
        <v>0</v>
      </c>
      <c r="K114" s="476"/>
      <c r="L114" s="485"/>
      <c r="M114" s="476">
        <f t="shared" si="34"/>
        <v>0</v>
      </c>
      <c r="N114" s="485"/>
      <c r="O114" s="476">
        <f t="shared" si="35"/>
        <v>0</v>
      </c>
      <c r="P114" s="476">
        <f t="shared" si="36"/>
        <v>0</v>
      </c>
    </row>
    <row r="115" spans="2:16">
      <c r="B115" s="160" t="str">
        <f t="shared" si="39"/>
        <v/>
      </c>
      <c r="C115" s="470">
        <f>IF(D93="","-",+C114+1)</f>
        <v>2024</v>
      </c>
      <c r="D115" s="345">
        <f>IF(F114+SUM(E$99:E114)=D$92,F114,D$92-SUM(E$99:E114))</f>
        <v>1011139</v>
      </c>
      <c r="E115" s="484">
        <f>IF(+J96&lt;F114,J96,D115)</f>
        <v>37085</v>
      </c>
      <c r="F115" s="483">
        <f t="shared" si="54"/>
        <v>974054</v>
      </c>
      <c r="G115" s="483">
        <f t="shared" si="55"/>
        <v>992596.5</v>
      </c>
      <c r="H115" s="486">
        <f t="shared" si="56"/>
        <v>150035.32808825537</v>
      </c>
      <c r="I115" s="540">
        <f t="shared" si="57"/>
        <v>150035.32808825537</v>
      </c>
      <c r="J115" s="476">
        <f t="shared" si="33"/>
        <v>0</v>
      </c>
      <c r="K115" s="476"/>
      <c r="L115" s="485"/>
      <c r="M115" s="476">
        <f t="shared" si="34"/>
        <v>0</v>
      </c>
      <c r="N115" s="485"/>
      <c r="O115" s="476">
        <f t="shared" si="35"/>
        <v>0</v>
      </c>
      <c r="P115" s="476">
        <f t="shared" si="36"/>
        <v>0</v>
      </c>
    </row>
    <row r="116" spans="2:16">
      <c r="B116" s="160" t="str">
        <f t="shared" si="39"/>
        <v/>
      </c>
      <c r="C116" s="470">
        <f>IF(D93="","-",+C115+1)</f>
        <v>2025</v>
      </c>
      <c r="D116" s="345">
        <f>IF(F115+SUM(E$99:E115)=D$92,F115,D$92-SUM(E$99:E115))</f>
        <v>974054</v>
      </c>
      <c r="E116" s="484">
        <f>IF(+J96&lt;F115,J96,D116)</f>
        <v>37085</v>
      </c>
      <c r="F116" s="483">
        <f t="shared" si="54"/>
        <v>936969</v>
      </c>
      <c r="G116" s="483">
        <f t="shared" si="55"/>
        <v>955511.5</v>
      </c>
      <c r="H116" s="486">
        <f t="shared" si="56"/>
        <v>145815.32235868351</v>
      </c>
      <c r="I116" s="540">
        <f t="shared" si="57"/>
        <v>145815.32235868351</v>
      </c>
      <c r="J116" s="476">
        <f t="shared" si="33"/>
        <v>0</v>
      </c>
      <c r="K116" s="476"/>
      <c r="L116" s="485"/>
      <c r="M116" s="476">
        <f t="shared" si="34"/>
        <v>0</v>
      </c>
      <c r="N116" s="485"/>
      <c r="O116" s="476">
        <f t="shared" si="35"/>
        <v>0</v>
      </c>
      <c r="P116" s="476">
        <f t="shared" si="36"/>
        <v>0</v>
      </c>
    </row>
    <row r="117" spans="2:16">
      <c r="B117" s="160" t="str">
        <f t="shared" si="39"/>
        <v/>
      </c>
      <c r="C117" s="470">
        <f>IF(D93="","-",+C116+1)</f>
        <v>2026</v>
      </c>
      <c r="D117" s="345">
        <f>IF(F116+SUM(E$99:E116)=D$92,F116,D$92-SUM(E$99:E116))</f>
        <v>936969</v>
      </c>
      <c r="E117" s="484">
        <f>IF(+J96&lt;F116,J96,D117)</f>
        <v>37085</v>
      </c>
      <c r="F117" s="483">
        <f t="shared" si="54"/>
        <v>899884</v>
      </c>
      <c r="G117" s="483">
        <f t="shared" si="55"/>
        <v>918426.5</v>
      </c>
      <c r="H117" s="486">
        <f t="shared" si="56"/>
        <v>141595.31662911171</v>
      </c>
      <c r="I117" s="540">
        <f t="shared" si="57"/>
        <v>141595.31662911171</v>
      </c>
      <c r="J117" s="476">
        <f t="shared" si="33"/>
        <v>0</v>
      </c>
      <c r="K117" s="476"/>
      <c r="L117" s="485"/>
      <c r="M117" s="476">
        <f t="shared" si="34"/>
        <v>0</v>
      </c>
      <c r="N117" s="485"/>
      <c r="O117" s="476">
        <f t="shared" si="35"/>
        <v>0</v>
      </c>
      <c r="P117" s="476">
        <f t="shared" si="36"/>
        <v>0</v>
      </c>
    </row>
    <row r="118" spans="2:16">
      <c r="B118" s="160" t="str">
        <f t="shared" si="39"/>
        <v/>
      </c>
      <c r="C118" s="470">
        <f>IF(D93="","-",+C117+1)</f>
        <v>2027</v>
      </c>
      <c r="D118" s="345">
        <f>IF(F117+SUM(E$99:E117)=D$92,F117,D$92-SUM(E$99:E117))</f>
        <v>899884</v>
      </c>
      <c r="E118" s="484">
        <f>IF(+J96&lt;F117,J96,D118)</f>
        <v>37085</v>
      </c>
      <c r="F118" s="483">
        <f t="shared" si="54"/>
        <v>862799</v>
      </c>
      <c r="G118" s="483">
        <f t="shared" si="55"/>
        <v>881341.5</v>
      </c>
      <c r="H118" s="486">
        <f t="shared" si="56"/>
        <v>137375.31089953985</v>
      </c>
      <c r="I118" s="540">
        <f t="shared" si="57"/>
        <v>137375.31089953985</v>
      </c>
      <c r="J118" s="476">
        <f t="shared" si="33"/>
        <v>0</v>
      </c>
      <c r="K118" s="476"/>
      <c r="L118" s="485"/>
      <c r="M118" s="476">
        <f t="shared" si="34"/>
        <v>0</v>
      </c>
      <c r="N118" s="485"/>
      <c r="O118" s="476">
        <f t="shared" si="35"/>
        <v>0</v>
      </c>
      <c r="P118" s="476">
        <f t="shared" si="36"/>
        <v>0</v>
      </c>
    </row>
    <row r="119" spans="2:16">
      <c r="B119" s="160" t="str">
        <f t="shared" si="39"/>
        <v/>
      </c>
      <c r="C119" s="470">
        <f>IF(D93="","-",+C118+1)</f>
        <v>2028</v>
      </c>
      <c r="D119" s="345">
        <f>IF(F118+SUM(E$99:E118)=D$92,F118,D$92-SUM(E$99:E118))</f>
        <v>862799</v>
      </c>
      <c r="E119" s="484">
        <f>IF(+J96&lt;F118,J96,D119)</f>
        <v>37085</v>
      </c>
      <c r="F119" s="483">
        <f t="shared" si="54"/>
        <v>825714</v>
      </c>
      <c r="G119" s="483">
        <f t="shared" si="55"/>
        <v>844256.5</v>
      </c>
      <c r="H119" s="486">
        <f t="shared" si="56"/>
        <v>133155.30516996802</v>
      </c>
      <c r="I119" s="540">
        <f t="shared" si="57"/>
        <v>133155.30516996802</v>
      </c>
      <c r="J119" s="476">
        <f t="shared" si="33"/>
        <v>0</v>
      </c>
      <c r="K119" s="476"/>
      <c r="L119" s="485"/>
      <c r="M119" s="476">
        <f t="shared" si="34"/>
        <v>0</v>
      </c>
      <c r="N119" s="485"/>
      <c r="O119" s="476">
        <f t="shared" si="35"/>
        <v>0</v>
      </c>
      <c r="P119" s="476">
        <f t="shared" si="36"/>
        <v>0</v>
      </c>
    </row>
    <row r="120" spans="2:16">
      <c r="B120" s="160" t="str">
        <f t="shared" si="39"/>
        <v/>
      </c>
      <c r="C120" s="470">
        <f>IF(D93="","-",+C119+1)</f>
        <v>2029</v>
      </c>
      <c r="D120" s="345">
        <f>IF(F119+SUM(E$99:E119)=D$92,F119,D$92-SUM(E$99:E119))</f>
        <v>825714</v>
      </c>
      <c r="E120" s="484">
        <f>IF(+J96&lt;F119,J96,D120)</f>
        <v>37085</v>
      </c>
      <c r="F120" s="483">
        <f t="shared" si="54"/>
        <v>788629</v>
      </c>
      <c r="G120" s="483">
        <f t="shared" si="55"/>
        <v>807171.5</v>
      </c>
      <c r="H120" s="486">
        <f t="shared" si="56"/>
        <v>128935.29944039619</v>
      </c>
      <c r="I120" s="540">
        <f t="shared" si="57"/>
        <v>128935.29944039619</v>
      </c>
      <c r="J120" s="476">
        <f t="shared" si="33"/>
        <v>0</v>
      </c>
      <c r="K120" s="476"/>
      <c r="L120" s="485"/>
      <c r="M120" s="476">
        <f t="shared" si="34"/>
        <v>0</v>
      </c>
      <c r="N120" s="485"/>
      <c r="O120" s="476">
        <f t="shared" si="35"/>
        <v>0</v>
      </c>
      <c r="P120" s="476">
        <f t="shared" si="36"/>
        <v>0</v>
      </c>
    </row>
    <row r="121" spans="2:16">
      <c r="B121" s="160" t="str">
        <f t="shared" si="39"/>
        <v/>
      </c>
      <c r="C121" s="470">
        <f>IF(D93="","-",+C120+1)</f>
        <v>2030</v>
      </c>
      <c r="D121" s="345">
        <f>IF(F120+SUM(E$99:E120)=D$92,F120,D$92-SUM(E$99:E120))</f>
        <v>788629</v>
      </c>
      <c r="E121" s="484">
        <f>IF(+J96&lt;F120,J96,D121)</f>
        <v>37085</v>
      </c>
      <c r="F121" s="483">
        <f t="shared" si="54"/>
        <v>751544</v>
      </c>
      <c r="G121" s="483">
        <f t="shared" si="55"/>
        <v>770086.5</v>
      </c>
      <c r="H121" s="486">
        <f t="shared" si="56"/>
        <v>124715.29371082435</v>
      </c>
      <c r="I121" s="540">
        <f t="shared" si="57"/>
        <v>124715.29371082435</v>
      </c>
      <c r="J121" s="476">
        <f t="shared" si="33"/>
        <v>0</v>
      </c>
      <c r="K121" s="476"/>
      <c r="L121" s="485"/>
      <c r="M121" s="476">
        <f t="shared" si="34"/>
        <v>0</v>
      </c>
      <c r="N121" s="485"/>
      <c r="O121" s="476">
        <f t="shared" si="35"/>
        <v>0</v>
      </c>
      <c r="P121" s="476">
        <f t="shared" si="36"/>
        <v>0</v>
      </c>
    </row>
    <row r="122" spans="2:16">
      <c r="B122" s="160" t="str">
        <f t="shared" si="39"/>
        <v/>
      </c>
      <c r="C122" s="470">
        <f>IF(D93="","-",+C121+1)</f>
        <v>2031</v>
      </c>
      <c r="D122" s="345">
        <f>IF(F121+SUM(E$99:E121)=D$92,F121,D$92-SUM(E$99:E121))</f>
        <v>751544</v>
      </c>
      <c r="E122" s="484">
        <f>IF(+J96&lt;F121,J96,D122)</f>
        <v>37085</v>
      </c>
      <c r="F122" s="483">
        <f t="shared" si="54"/>
        <v>714459</v>
      </c>
      <c r="G122" s="483">
        <f t="shared" si="55"/>
        <v>733001.5</v>
      </c>
      <c r="H122" s="486">
        <f t="shared" si="56"/>
        <v>120495.28798125252</v>
      </c>
      <c r="I122" s="540">
        <f t="shared" si="57"/>
        <v>120495.28798125252</v>
      </c>
      <c r="J122" s="476">
        <f t="shared" si="33"/>
        <v>0</v>
      </c>
      <c r="K122" s="476"/>
      <c r="L122" s="485"/>
      <c r="M122" s="476">
        <f t="shared" si="34"/>
        <v>0</v>
      </c>
      <c r="N122" s="485"/>
      <c r="O122" s="476">
        <f t="shared" si="35"/>
        <v>0</v>
      </c>
      <c r="P122" s="476">
        <f t="shared" si="36"/>
        <v>0</v>
      </c>
    </row>
    <row r="123" spans="2:16">
      <c r="B123" s="160" t="str">
        <f t="shared" si="39"/>
        <v/>
      </c>
      <c r="C123" s="470">
        <f>IF(D93="","-",+C122+1)</f>
        <v>2032</v>
      </c>
      <c r="D123" s="345">
        <f>IF(F122+SUM(E$99:E122)=D$92,F122,D$92-SUM(E$99:E122))</f>
        <v>714459</v>
      </c>
      <c r="E123" s="484">
        <f>IF(+J96&lt;F122,J96,D123)</f>
        <v>37085</v>
      </c>
      <c r="F123" s="483">
        <f t="shared" si="54"/>
        <v>677374</v>
      </c>
      <c r="G123" s="483">
        <f t="shared" si="55"/>
        <v>695916.5</v>
      </c>
      <c r="H123" s="486">
        <f t="shared" si="56"/>
        <v>116275.28225168068</v>
      </c>
      <c r="I123" s="540">
        <f t="shared" si="57"/>
        <v>116275.28225168068</v>
      </c>
      <c r="J123" s="476">
        <f t="shared" si="33"/>
        <v>0</v>
      </c>
      <c r="K123" s="476"/>
      <c r="L123" s="485"/>
      <c r="M123" s="476">
        <f t="shared" si="34"/>
        <v>0</v>
      </c>
      <c r="N123" s="485"/>
      <c r="O123" s="476">
        <f t="shared" si="35"/>
        <v>0</v>
      </c>
      <c r="P123" s="476">
        <f t="shared" si="36"/>
        <v>0</v>
      </c>
    </row>
    <row r="124" spans="2:16">
      <c r="B124" s="160" t="str">
        <f t="shared" si="39"/>
        <v/>
      </c>
      <c r="C124" s="470">
        <f>IF(D93="","-",+C123+1)</f>
        <v>2033</v>
      </c>
      <c r="D124" s="345">
        <f>IF(F123+SUM(E$99:E123)=D$92,F123,D$92-SUM(E$99:E123))</f>
        <v>677374</v>
      </c>
      <c r="E124" s="484">
        <f>IF(+J96&lt;F123,J96,D124)</f>
        <v>37085</v>
      </c>
      <c r="F124" s="483">
        <f t="shared" si="54"/>
        <v>640289</v>
      </c>
      <c r="G124" s="483">
        <f t="shared" si="55"/>
        <v>658831.5</v>
      </c>
      <c r="H124" s="486">
        <f t="shared" si="56"/>
        <v>112055.27652210885</v>
      </c>
      <c r="I124" s="540">
        <f t="shared" si="57"/>
        <v>112055.27652210885</v>
      </c>
      <c r="J124" s="476">
        <f t="shared" si="33"/>
        <v>0</v>
      </c>
      <c r="K124" s="476"/>
      <c r="L124" s="485"/>
      <c r="M124" s="476">
        <f t="shared" si="34"/>
        <v>0</v>
      </c>
      <c r="N124" s="485"/>
      <c r="O124" s="476">
        <f t="shared" si="35"/>
        <v>0</v>
      </c>
      <c r="P124" s="476">
        <f t="shared" si="36"/>
        <v>0</v>
      </c>
    </row>
    <row r="125" spans="2:16">
      <c r="B125" s="160" t="str">
        <f t="shared" si="39"/>
        <v/>
      </c>
      <c r="C125" s="470">
        <f>IF(D93="","-",+C124+1)</f>
        <v>2034</v>
      </c>
      <c r="D125" s="345">
        <f>IF(F124+SUM(E$99:E124)=D$92,F124,D$92-SUM(E$99:E124))</f>
        <v>640289</v>
      </c>
      <c r="E125" s="484">
        <f>IF(+J96&lt;F124,J96,D125)</f>
        <v>37085</v>
      </c>
      <c r="F125" s="483">
        <f t="shared" si="54"/>
        <v>603204</v>
      </c>
      <c r="G125" s="483">
        <f t="shared" si="55"/>
        <v>621746.5</v>
      </c>
      <c r="H125" s="486">
        <f t="shared" si="56"/>
        <v>107835.27079253701</v>
      </c>
      <c r="I125" s="540">
        <f t="shared" si="57"/>
        <v>107835.27079253701</v>
      </c>
      <c r="J125" s="476">
        <f t="shared" si="33"/>
        <v>0</v>
      </c>
      <c r="K125" s="476"/>
      <c r="L125" s="485"/>
      <c r="M125" s="476">
        <f t="shared" si="34"/>
        <v>0</v>
      </c>
      <c r="N125" s="485"/>
      <c r="O125" s="476">
        <f t="shared" si="35"/>
        <v>0</v>
      </c>
      <c r="P125" s="476">
        <f t="shared" si="36"/>
        <v>0</v>
      </c>
    </row>
    <row r="126" spans="2:16">
      <c r="B126" s="160" t="str">
        <f t="shared" si="39"/>
        <v/>
      </c>
      <c r="C126" s="470">
        <f>IF(D93="","-",+C125+1)</f>
        <v>2035</v>
      </c>
      <c r="D126" s="345">
        <f>IF(F125+SUM(E$99:E125)=D$92,F125,D$92-SUM(E$99:E125))</f>
        <v>603204</v>
      </c>
      <c r="E126" s="484">
        <f>IF(+J96&lt;F125,J96,D126)</f>
        <v>37085</v>
      </c>
      <c r="F126" s="483">
        <f t="shared" si="54"/>
        <v>566119</v>
      </c>
      <c r="G126" s="483">
        <f t="shared" si="55"/>
        <v>584661.5</v>
      </c>
      <c r="H126" s="486">
        <f t="shared" si="56"/>
        <v>103615.26506296518</v>
      </c>
      <c r="I126" s="540">
        <f t="shared" si="57"/>
        <v>103615.26506296518</v>
      </c>
      <c r="J126" s="476">
        <f t="shared" si="33"/>
        <v>0</v>
      </c>
      <c r="K126" s="476"/>
      <c r="L126" s="485"/>
      <c r="M126" s="476">
        <f t="shared" si="34"/>
        <v>0</v>
      </c>
      <c r="N126" s="485"/>
      <c r="O126" s="476">
        <f t="shared" si="35"/>
        <v>0</v>
      </c>
      <c r="P126" s="476">
        <f t="shared" si="36"/>
        <v>0</v>
      </c>
    </row>
    <row r="127" spans="2:16">
      <c r="B127" s="160" t="str">
        <f t="shared" si="39"/>
        <v/>
      </c>
      <c r="C127" s="470">
        <f>IF(D93="","-",+C126+1)</f>
        <v>2036</v>
      </c>
      <c r="D127" s="345">
        <f>IF(F126+SUM(E$99:E126)=D$92,F126,D$92-SUM(E$99:E126))</f>
        <v>566119</v>
      </c>
      <c r="E127" s="484">
        <f>IF(+J96&lt;F126,J96,D127)</f>
        <v>37085</v>
      </c>
      <c r="F127" s="483">
        <f t="shared" si="54"/>
        <v>529034</v>
      </c>
      <c r="G127" s="483">
        <f t="shared" si="55"/>
        <v>547576.5</v>
      </c>
      <c r="H127" s="486">
        <f t="shared" si="56"/>
        <v>99395.259333393333</v>
      </c>
      <c r="I127" s="540">
        <f t="shared" si="57"/>
        <v>99395.259333393333</v>
      </c>
      <c r="J127" s="476">
        <f t="shared" si="33"/>
        <v>0</v>
      </c>
      <c r="K127" s="476"/>
      <c r="L127" s="485"/>
      <c r="M127" s="476">
        <f t="shared" si="34"/>
        <v>0</v>
      </c>
      <c r="N127" s="485"/>
      <c r="O127" s="476">
        <f t="shared" si="35"/>
        <v>0</v>
      </c>
      <c r="P127" s="476">
        <f t="shared" si="36"/>
        <v>0</v>
      </c>
    </row>
    <row r="128" spans="2:16">
      <c r="B128" s="160" t="str">
        <f t="shared" si="39"/>
        <v/>
      </c>
      <c r="C128" s="470">
        <f>IF(D93="","-",+C127+1)</f>
        <v>2037</v>
      </c>
      <c r="D128" s="345">
        <f>IF(F127+SUM(E$99:E127)=D$92,F127,D$92-SUM(E$99:E127))</f>
        <v>529034</v>
      </c>
      <c r="E128" s="484">
        <f>IF(+J96&lt;F127,J96,D128)</f>
        <v>37085</v>
      </c>
      <c r="F128" s="483">
        <f t="shared" si="54"/>
        <v>491949</v>
      </c>
      <c r="G128" s="483">
        <f t="shared" si="55"/>
        <v>510491.5</v>
      </c>
      <c r="H128" s="486">
        <f t="shared" si="56"/>
        <v>95175.253603821504</v>
      </c>
      <c r="I128" s="540">
        <f t="shared" si="57"/>
        <v>95175.253603821504</v>
      </c>
      <c r="J128" s="476">
        <f t="shared" si="33"/>
        <v>0</v>
      </c>
      <c r="K128" s="476"/>
      <c r="L128" s="485"/>
      <c r="M128" s="476">
        <f t="shared" si="34"/>
        <v>0</v>
      </c>
      <c r="N128" s="485"/>
      <c r="O128" s="476">
        <f t="shared" si="35"/>
        <v>0</v>
      </c>
      <c r="P128" s="476">
        <f t="shared" si="36"/>
        <v>0</v>
      </c>
    </row>
    <row r="129" spans="2:16">
      <c r="B129" s="160" t="str">
        <f t="shared" si="39"/>
        <v/>
      </c>
      <c r="C129" s="470">
        <f>IF(D93="","-",+C128+1)</f>
        <v>2038</v>
      </c>
      <c r="D129" s="345">
        <f>IF(F128+SUM(E$99:E128)=D$92,F128,D$92-SUM(E$99:E128))</f>
        <v>491949</v>
      </c>
      <c r="E129" s="484">
        <f>IF(+J96&lt;F128,J96,D129)</f>
        <v>37085</v>
      </c>
      <c r="F129" s="483">
        <f t="shared" si="54"/>
        <v>454864</v>
      </c>
      <c r="G129" s="483">
        <f t="shared" si="55"/>
        <v>473406.5</v>
      </c>
      <c r="H129" s="486">
        <f t="shared" si="56"/>
        <v>90955.247874249675</v>
      </c>
      <c r="I129" s="540">
        <f t="shared" si="57"/>
        <v>90955.247874249675</v>
      </c>
      <c r="J129" s="476">
        <f t="shared" si="33"/>
        <v>0</v>
      </c>
      <c r="K129" s="476"/>
      <c r="L129" s="485"/>
      <c r="M129" s="476">
        <f t="shared" si="34"/>
        <v>0</v>
      </c>
      <c r="N129" s="485"/>
      <c r="O129" s="476">
        <f t="shared" si="35"/>
        <v>0</v>
      </c>
      <c r="P129" s="476">
        <f t="shared" si="36"/>
        <v>0</v>
      </c>
    </row>
    <row r="130" spans="2:16">
      <c r="B130" s="160" t="str">
        <f t="shared" si="39"/>
        <v/>
      </c>
      <c r="C130" s="470">
        <f>IF(D93="","-",+C129+1)</f>
        <v>2039</v>
      </c>
      <c r="D130" s="345">
        <f>IF(F129+SUM(E$99:E129)=D$92,F129,D$92-SUM(E$99:E129))</f>
        <v>454864</v>
      </c>
      <c r="E130" s="484">
        <f>IF(+J96&lt;F129,J96,D130)</f>
        <v>37085</v>
      </c>
      <c r="F130" s="483">
        <f t="shared" si="54"/>
        <v>417779</v>
      </c>
      <c r="G130" s="483">
        <f t="shared" si="55"/>
        <v>436321.5</v>
      </c>
      <c r="H130" s="486">
        <f t="shared" si="56"/>
        <v>86735.242144677846</v>
      </c>
      <c r="I130" s="540">
        <f t="shared" si="57"/>
        <v>86735.242144677846</v>
      </c>
      <c r="J130" s="476">
        <f t="shared" si="33"/>
        <v>0</v>
      </c>
      <c r="K130" s="476"/>
      <c r="L130" s="485"/>
      <c r="M130" s="476">
        <f t="shared" si="34"/>
        <v>0</v>
      </c>
      <c r="N130" s="485"/>
      <c r="O130" s="476">
        <f t="shared" si="35"/>
        <v>0</v>
      </c>
      <c r="P130" s="476">
        <f t="shared" si="36"/>
        <v>0</v>
      </c>
    </row>
    <row r="131" spans="2:16">
      <c r="B131" s="160" t="str">
        <f t="shared" si="39"/>
        <v/>
      </c>
      <c r="C131" s="470">
        <f>IF(D93="","-",+C130+1)</f>
        <v>2040</v>
      </c>
      <c r="D131" s="345">
        <f>IF(F130+SUM(E$99:E130)=D$92,F130,D$92-SUM(E$99:E130))</f>
        <v>417779</v>
      </c>
      <c r="E131" s="484">
        <f>IF(+J96&lt;F130,J96,D131)</f>
        <v>37085</v>
      </c>
      <c r="F131" s="483">
        <f t="shared" ref="F131:F154" si="58">+D131-E131</f>
        <v>380694</v>
      </c>
      <c r="G131" s="483">
        <f t="shared" ref="G131:G154" si="59">+(F131+D131)/2</f>
        <v>399236.5</v>
      </c>
      <c r="H131" s="486">
        <f t="shared" si="56"/>
        <v>82515.236415106003</v>
      </c>
      <c r="I131" s="540">
        <f t="shared" si="57"/>
        <v>82515.236415106003</v>
      </c>
      <c r="J131" s="476">
        <f t="shared" ref="J131:J154" si="60">+I131-H131</f>
        <v>0</v>
      </c>
      <c r="K131" s="476"/>
      <c r="L131" s="485"/>
      <c r="M131" s="476">
        <f t="shared" ref="M131:M154" si="61">IF(L131&lt;&gt;0,+H131-L131,0)</f>
        <v>0</v>
      </c>
      <c r="N131" s="485"/>
      <c r="O131" s="476">
        <f t="shared" ref="O131:O154" si="62">IF(N131&lt;&gt;0,+I131-N131,0)</f>
        <v>0</v>
      </c>
      <c r="P131" s="476">
        <f t="shared" ref="P131:P154" si="63">+O131-M131</f>
        <v>0</v>
      </c>
    </row>
    <row r="132" spans="2:16">
      <c r="B132" s="160" t="str">
        <f t="shared" si="39"/>
        <v/>
      </c>
      <c r="C132" s="470">
        <f>IF(D93="","-",+C131+1)</f>
        <v>2041</v>
      </c>
      <c r="D132" s="345">
        <f>IF(F131+SUM(E$99:E131)=D$92,F131,D$92-SUM(E$99:E131))</f>
        <v>380694</v>
      </c>
      <c r="E132" s="484">
        <f>IF(+J96&lt;F131,J96,D132)</f>
        <v>37085</v>
      </c>
      <c r="F132" s="483">
        <f t="shared" si="58"/>
        <v>343609</v>
      </c>
      <c r="G132" s="483">
        <f t="shared" si="59"/>
        <v>362151.5</v>
      </c>
      <c r="H132" s="486">
        <f t="shared" si="56"/>
        <v>78295.230685534159</v>
      </c>
      <c r="I132" s="540">
        <f t="shared" si="57"/>
        <v>78295.230685534159</v>
      </c>
      <c r="J132" s="476">
        <f t="shared" si="60"/>
        <v>0</v>
      </c>
      <c r="K132" s="476"/>
      <c r="L132" s="485"/>
      <c r="M132" s="476">
        <f t="shared" si="61"/>
        <v>0</v>
      </c>
      <c r="N132" s="485"/>
      <c r="O132" s="476">
        <f t="shared" si="62"/>
        <v>0</v>
      </c>
      <c r="P132" s="476">
        <f t="shared" si="63"/>
        <v>0</v>
      </c>
    </row>
    <row r="133" spans="2:16">
      <c r="B133" s="160" t="str">
        <f t="shared" si="39"/>
        <v/>
      </c>
      <c r="C133" s="470">
        <f>IF(D93="","-",+C132+1)</f>
        <v>2042</v>
      </c>
      <c r="D133" s="345">
        <f>IF(F132+SUM(E$99:E132)=D$92,F132,D$92-SUM(E$99:E132))</f>
        <v>343609</v>
      </c>
      <c r="E133" s="484">
        <f>IF(+J96&lt;F132,J96,D133)</f>
        <v>37085</v>
      </c>
      <c r="F133" s="483">
        <f t="shared" si="58"/>
        <v>306524</v>
      </c>
      <c r="G133" s="483">
        <f t="shared" si="59"/>
        <v>325066.5</v>
      </c>
      <c r="H133" s="486">
        <f t="shared" si="56"/>
        <v>74075.224955962331</v>
      </c>
      <c r="I133" s="540">
        <f t="shared" si="57"/>
        <v>74075.224955962331</v>
      </c>
      <c r="J133" s="476">
        <f t="shared" si="60"/>
        <v>0</v>
      </c>
      <c r="K133" s="476"/>
      <c r="L133" s="485"/>
      <c r="M133" s="476">
        <f t="shared" si="61"/>
        <v>0</v>
      </c>
      <c r="N133" s="485"/>
      <c r="O133" s="476">
        <f t="shared" si="62"/>
        <v>0</v>
      </c>
      <c r="P133" s="476">
        <f t="shared" si="63"/>
        <v>0</v>
      </c>
    </row>
    <row r="134" spans="2:16">
      <c r="B134" s="160" t="str">
        <f t="shared" si="39"/>
        <v/>
      </c>
      <c r="C134" s="470">
        <f>IF(D93="","-",+C133+1)</f>
        <v>2043</v>
      </c>
      <c r="D134" s="345">
        <f>IF(F133+SUM(E$99:E133)=D$92,F133,D$92-SUM(E$99:E133))</f>
        <v>306524</v>
      </c>
      <c r="E134" s="484">
        <f>IF(+J96&lt;F133,J96,D134)</f>
        <v>37085</v>
      </c>
      <c r="F134" s="483">
        <f t="shared" si="58"/>
        <v>269439</v>
      </c>
      <c r="G134" s="483">
        <f t="shared" si="59"/>
        <v>287981.5</v>
      </c>
      <c r="H134" s="486">
        <f t="shared" si="56"/>
        <v>69855.219226390502</v>
      </c>
      <c r="I134" s="540">
        <f t="shared" si="57"/>
        <v>69855.219226390502</v>
      </c>
      <c r="J134" s="476">
        <f t="shared" si="60"/>
        <v>0</v>
      </c>
      <c r="K134" s="476"/>
      <c r="L134" s="485"/>
      <c r="M134" s="476">
        <f t="shared" si="61"/>
        <v>0</v>
      </c>
      <c r="N134" s="485"/>
      <c r="O134" s="476">
        <f t="shared" si="62"/>
        <v>0</v>
      </c>
      <c r="P134" s="476">
        <f t="shared" si="63"/>
        <v>0</v>
      </c>
    </row>
    <row r="135" spans="2:16">
      <c r="B135" s="160" t="str">
        <f t="shared" si="39"/>
        <v/>
      </c>
      <c r="C135" s="470">
        <f>IF(D93="","-",+C134+1)</f>
        <v>2044</v>
      </c>
      <c r="D135" s="345">
        <f>IF(F134+SUM(E$99:E134)=D$92,F134,D$92-SUM(E$99:E134))</f>
        <v>269439</v>
      </c>
      <c r="E135" s="484">
        <f>IF(+J96&lt;F134,J96,D135)</f>
        <v>37085</v>
      </c>
      <c r="F135" s="483">
        <f t="shared" si="58"/>
        <v>232354</v>
      </c>
      <c r="G135" s="483">
        <f t="shared" si="59"/>
        <v>250896.5</v>
      </c>
      <c r="H135" s="486">
        <f t="shared" si="56"/>
        <v>65635.213496818658</v>
      </c>
      <c r="I135" s="540">
        <f t="shared" si="57"/>
        <v>65635.213496818658</v>
      </c>
      <c r="J135" s="476">
        <f t="shared" si="60"/>
        <v>0</v>
      </c>
      <c r="K135" s="476"/>
      <c r="L135" s="485"/>
      <c r="M135" s="476">
        <f t="shared" si="61"/>
        <v>0</v>
      </c>
      <c r="N135" s="485"/>
      <c r="O135" s="476">
        <f t="shared" si="62"/>
        <v>0</v>
      </c>
      <c r="P135" s="476">
        <f t="shared" si="63"/>
        <v>0</v>
      </c>
    </row>
    <row r="136" spans="2:16">
      <c r="B136" s="160" t="str">
        <f t="shared" si="39"/>
        <v/>
      </c>
      <c r="C136" s="470">
        <f>IF(D93="","-",+C135+1)</f>
        <v>2045</v>
      </c>
      <c r="D136" s="345">
        <f>IF(F135+SUM(E$99:E135)=D$92,F135,D$92-SUM(E$99:E135))</f>
        <v>232354</v>
      </c>
      <c r="E136" s="484">
        <f>IF(+J96&lt;F135,J96,D136)</f>
        <v>37085</v>
      </c>
      <c r="F136" s="483">
        <f t="shared" si="58"/>
        <v>195269</v>
      </c>
      <c r="G136" s="483">
        <f t="shared" si="59"/>
        <v>213811.5</v>
      </c>
      <c r="H136" s="486">
        <f t="shared" si="56"/>
        <v>61415.207767246822</v>
      </c>
      <c r="I136" s="540">
        <f t="shared" si="57"/>
        <v>61415.207767246822</v>
      </c>
      <c r="J136" s="476">
        <f t="shared" si="60"/>
        <v>0</v>
      </c>
      <c r="K136" s="476"/>
      <c r="L136" s="485"/>
      <c r="M136" s="476">
        <f t="shared" si="61"/>
        <v>0</v>
      </c>
      <c r="N136" s="485"/>
      <c r="O136" s="476">
        <f t="shared" si="62"/>
        <v>0</v>
      </c>
      <c r="P136" s="476">
        <f t="shared" si="63"/>
        <v>0</v>
      </c>
    </row>
    <row r="137" spans="2:16">
      <c r="B137" s="160" t="str">
        <f t="shared" si="39"/>
        <v/>
      </c>
      <c r="C137" s="470">
        <f>IF(D93="","-",+C136+1)</f>
        <v>2046</v>
      </c>
      <c r="D137" s="345">
        <f>IF(F136+SUM(E$99:E136)=D$92,F136,D$92-SUM(E$99:E136))</f>
        <v>195269</v>
      </c>
      <c r="E137" s="484">
        <f>IF(+J96&lt;F136,J96,D137)</f>
        <v>37085</v>
      </c>
      <c r="F137" s="483">
        <f t="shared" si="58"/>
        <v>158184</v>
      </c>
      <c r="G137" s="483">
        <f t="shared" si="59"/>
        <v>176726.5</v>
      </c>
      <c r="H137" s="486">
        <f t="shared" si="56"/>
        <v>57195.202037674986</v>
      </c>
      <c r="I137" s="540">
        <f t="shared" si="57"/>
        <v>57195.202037674986</v>
      </c>
      <c r="J137" s="476">
        <f t="shared" si="60"/>
        <v>0</v>
      </c>
      <c r="K137" s="476"/>
      <c r="L137" s="485"/>
      <c r="M137" s="476">
        <f t="shared" si="61"/>
        <v>0</v>
      </c>
      <c r="N137" s="485"/>
      <c r="O137" s="476">
        <f t="shared" si="62"/>
        <v>0</v>
      </c>
      <c r="P137" s="476">
        <f t="shared" si="63"/>
        <v>0</v>
      </c>
    </row>
    <row r="138" spans="2:16">
      <c r="B138" s="160" t="str">
        <f t="shared" si="39"/>
        <v/>
      </c>
      <c r="C138" s="470">
        <f>IF(D93="","-",+C137+1)</f>
        <v>2047</v>
      </c>
      <c r="D138" s="345">
        <f>IF(F137+SUM(E$99:E137)=D$92,F137,D$92-SUM(E$99:E137))</f>
        <v>158184</v>
      </c>
      <c r="E138" s="484">
        <f>IF(+J96&lt;F137,J96,D138)</f>
        <v>37085</v>
      </c>
      <c r="F138" s="483">
        <f t="shared" si="58"/>
        <v>121099</v>
      </c>
      <c r="G138" s="483">
        <f t="shared" si="59"/>
        <v>139641.5</v>
      </c>
      <c r="H138" s="486">
        <f t="shared" si="56"/>
        <v>52975.196308103157</v>
      </c>
      <c r="I138" s="540">
        <f t="shared" si="57"/>
        <v>52975.196308103157</v>
      </c>
      <c r="J138" s="476">
        <f t="shared" si="60"/>
        <v>0</v>
      </c>
      <c r="K138" s="476"/>
      <c r="L138" s="485"/>
      <c r="M138" s="476">
        <f t="shared" si="61"/>
        <v>0</v>
      </c>
      <c r="N138" s="485"/>
      <c r="O138" s="476">
        <f t="shared" si="62"/>
        <v>0</v>
      </c>
      <c r="P138" s="476">
        <f t="shared" si="63"/>
        <v>0</v>
      </c>
    </row>
    <row r="139" spans="2:16">
      <c r="B139" s="160" t="str">
        <f t="shared" si="39"/>
        <v/>
      </c>
      <c r="C139" s="470">
        <f>IF(D93="","-",+C138+1)</f>
        <v>2048</v>
      </c>
      <c r="D139" s="345">
        <f>IF(F138+SUM(E$99:E138)=D$92,F138,D$92-SUM(E$99:E138))</f>
        <v>121099</v>
      </c>
      <c r="E139" s="484">
        <f>IF(+J96&lt;F138,J96,D139)</f>
        <v>37085</v>
      </c>
      <c r="F139" s="483">
        <f t="shared" si="58"/>
        <v>84014</v>
      </c>
      <c r="G139" s="483">
        <f t="shared" si="59"/>
        <v>102556.5</v>
      </c>
      <c r="H139" s="486">
        <f t="shared" si="56"/>
        <v>48755.190578531314</v>
      </c>
      <c r="I139" s="540">
        <f t="shared" si="57"/>
        <v>48755.190578531314</v>
      </c>
      <c r="J139" s="476">
        <f t="shared" si="60"/>
        <v>0</v>
      </c>
      <c r="K139" s="476"/>
      <c r="L139" s="485"/>
      <c r="M139" s="476">
        <f t="shared" si="61"/>
        <v>0</v>
      </c>
      <c r="N139" s="485"/>
      <c r="O139" s="476">
        <f t="shared" si="62"/>
        <v>0</v>
      </c>
      <c r="P139" s="476">
        <f t="shared" si="63"/>
        <v>0</v>
      </c>
    </row>
    <row r="140" spans="2:16">
      <c r="B140" s="160" t="str">
        <f t="shared" si="39"/>
        <v/>
      </c>
      <c r="C140" s="470">
        <f>IF(D93="","-",+C139+1)</f>
        <v>2049</v>
      </c>
      <c r="D140" s="345">
        <f>IF(F139+SUM(E$99:E139)=D$92,F139,D$92-SUM(E$99:E139))</f>
        <v>84014</v>
      </c>
      <c r="E140" s="484">
        <f>IF(+J96&lt;F139,J96,D140)</f>
        <v>37085</v>
      </c>
      <c r="F140" s="483">
        <f t="shared" si="58"/>
        <v>46929</v>
      </c>
      <c r="G140" s="483">
        <f t="shared" si="59"/>
        <v>65471.5</v>
      </c>
      <c r="H140" s="486">
        <f t="shared" si="56"/>
        <v>44535.184848959485</v>
      </c>
      <c r="I140" s="540">
        <f t="shared" si="57"/>
        <v>44535.184848959485</v>
      </c>
      <c r="J140" s="476">
        <f t="shared" si="60"/>
        <v>0</v>
      </c>
      <c r="K140" s="476"/>
      <c r="L140" s="485"/>
      <c r="M140" s="476">
        <f t="shared" si="61"/>
        <v>0</v>
      </c>
      <c r="N140" s="485"/>
      <c r="O140" s="476">
        <f t="shared" si="62"/>
        <v>0</v>
      </c>
      <c r="P140" s="476">
        <f t="shared" si="63"/>
        <v>0</v>
      </c>
    </row>
    <row r="141" spans="2:16">
      <c r="B141" s="160" t="str">
        <f t="shared" si="39"/>
        <v/>
      </c>
      <c r="C141" s="470">
        <f>IF(D93="","-",+C140+1)</f>
        <v>2050</v>
      </c>
      <c r="D141" s="345">
        <f>IF(F140+SUM(E$99:E140)=D$92,F140,D$92-SUM(E$99:E140))</f>
        <v>46929</v>
      </c>
      <c r="E141" s="484">
        <f>IF(+J96&lt;F140,J96,D141)</f>
        <v>37085</v>
      </c>
      <c r="F141" s="483">
        <f t="shared" si="58"/>
        <v>9844</v>
      </c>
      <c r="G141" s="483">
        <f t="shared" si="59"/>
        <v>28386.5</v>
      </c>
      <c r="H141" s="486">
        <f t="shared" si="56"/>
        <v>40315.179119387649</v>
      </c>
      <c r="I141" s="540">
        <f t="shared" si="57"/>
        <v>40315.179119387649</v>
      </c>
      <c r="J141" s="476">
        <f t="shared" si="60"/>
        <v>0</v>
      </c>
      <c r="K141" s="476"/>
      <c r="L141" s="485"/>
      <c r="M141" s="476">
        <f t="shared" si="61"/>
        <v>0</v>
      </c>
      <c r="N141" s="485"/>
      <c r="O141" s="476">
        <f t="shared" si="62"/>
        <v>0</v>
      </c>
      <c r="P141" s="476">
        <f t="shared" si="63"/>
        <v>0</v>
      </c>
    </row>
    <row r="142" spans="2:16">
      <c r="B142" s="160" t="str">
        <f t="shared" si="39"/>
        <v/>
      </c>
      <c r="C142" s="470">
        <f>IF(D93="","-",+C141+1)</f>
        <v>2051</v>
      </c>
      <c r="D142" s="345">
        <f>IF(F141+SUM(E$99:E141)=D$92,F141,D$92-SUM(E$99:E141))</f>
        <v>9844</v>
      </c>
      <c r="E142" s="484">
        <f>IF(+J96&lt;F141,J96,D142)</f>
        <v>9844</v>
      </c>
      <c r="F142" s="483">
        <f t="shared" si="58"/>
        <v>0</v>
      </c>
      <c r="G142" s="483">
        <f t="shared" si="59"/>
        <v>4922</v>
      </c>
      <c r="H142" s="486">
        <f t="shared" si="56"/>
        <v>10404.088127300865</v>
      </c>
      <c r="I142" s="540">
        <f t="shared" si="57"/>
        <v>10404.088127300865</v>
      </c>
      <c r="J142" s="476">
        <f t="shared" si="60"/>
        <v>0</v>
      </c>
      <c r="K142" s="476"/>
      <c r="L142" s="485"/>
      <c r="M142" s="476">
        <f t="shared" si="61"/>
        <v>0</v>
      </c>
      <c r="N142" s="485"/>
      <c r="O142" s="476">
        <f t="shared" si="62"/>
        <v>0</v>
      </c>
      <c r="P142" s="476">
        <f t="shared" si="63"/>
        <v>0</v>
      </c>
    </row>
    <row r="143" spans="2:16">
      <c r="B143" s="160" t="str">
        <f t="shared" si="39"/>
        <v/>
      </c>
      <c r="C143" s="470">
        <f>IF(D93="","-",+C142+1)</f>
        <v>2052</v>
      </c>
      <c r="D143" s="345">
        <f>IF(F142+SUM(E$99:E142)=D$92,F142,D$92-SUM(E$99:E142))</f>
        <v>0</v>
      </c>
      <c r="E143" s="484">
        <f>IF(+J96&lt;F142,J96,D143)</f>
        <v>0</v>
      </c>
      <c r="F143" s="483">
        <f t="shared" si="58"/>
        <v>0</v>
      </c>
      <c r="G143" s="483">
        <f t="shared" si="59"/>
        <v>0</v>
      </c>
      <c r="H143" s="486">
        <f t="shared" si="56"/>
        <v>0</v>
      </c>
      <c r="I143" s="540">
        <f t="shared" si="57"/>
        <v>0</v>
      </c>
      <c r="J143" s="476">
        <f t="shared" si="60"/>
        <v>0</v>
      </c>
      <c r="K143" s="476"/>
      <c r="L143" s="485"/>
      <c r="M143" s="476">
        <f t="shared" si="61"/>
        <v>0</v>
      </c>
      <c r="N143" s="485"/>
      <c r="O143" s="476">
        <f t="shared" si="62"/>
        <v>0</v>
      </c>
      <c r="P143" s="476">
        <f t="shared" si="63"/>
        <v>0</v>
      </c>
    </row>
    <row r="144" spans="2:16">
      <c r="B144" s="160" t="str">
        <f t="shared" si="39"/>
        <v/>
      </c>
      <c r="C144" s="470">
        <f>IF(D93="","-",+C143+1)</f>
        <v>2053</v>
      </c>
      <c r="D144" s="345">
        <f>IF(F143+SUM(E$99:E143)=D$92,F143,D$92-SUM(E$99:E143))</f>
        <v>0</v>
      </c>
      <c r="E144" s="484">
        <f>IF(+J96&lt;F143,J96,D144)</f>
        <v>0</v>
      </c>
      <c r="F144" s="483">
        <f t="shared" si="58"/>
        <v>0</v>
      </c>
      <c r="G144" s="483">
        <f t="shared" si="59"/>
        <v>0</v>
      </c>
      <c r="H144" s="486">
        <f t="shared" si="56"/>
        <v>0</v>
      </c>
      <c r="I144" s="540">
        <f t="shared" si="57"/>
        <v>0</v>
      </c>
      <c r="J144" s="476">
        <f t="shared" si="60"/>
        <v>0</v>
      </c>
      <c r="K144" s="476"/>
      <c r="L144" s="485"/>
      <c r="M144" s="476">
        <f t="shared" si="61"/>
        <v>0</v>
      </c>
      <c r="N144" s="485"/>
      <c r="O144" s="476">
        <f t="shared" si="62"/>
        <v>0</v>
      </c>
      <c r="P144" s="476">
        <f t="shared" si="63"/>
        <v>0</v>
      </c>
    </row>
    <row r="145" spans="2:16">
      <c r="B145" s="160" t="str">
        <f t="shared" si="39"/>
        <v/>
      </c>
      <c r="C145" s="470">
        <f>IF(D93="","-",+C144+1)</f>
        <v>2054</v>
      </c>
      <c r="D145" s="345">
        <f>IF(F144+SUM(E$99:E144)=D$92,F144,D$92-SUM(E$99:E144))</f>
        <v>0</v>
      </c>
      <c r="E145" s="484">
        <f>IF(+J96&lt;F144,J96,D145)</f>
        <v>0</v>
      </c>
      <c r="F145" s="483">
        <f t="shared" si="58"/>
        <v>0</v>
      </c>
      <c r="G145" s="483">
        <f t="shared" si="59"/>
        <v>0</v>
      </c>
      <c r="H145" s="486">
        <f t="shared" si="56"/>
        <v>0</v>
      </c>
      <c r="I145" s="540">
        <f t="shared" si="57"/>
        <v>0</v>
      </c>
      <c r="J145" s="476">
        <f t="shared" si="60"/>
        <v>0</v>
      </c>
      <c r="K145" s="476"/>
      <c r="L145" s="485"/>
      <c r="M145" s="476">
        <f t="shared" si="61"/>
        <v>0</v>
      </c>
      <c r="N145" s="485"/>
      <c r="O145" s="476">
        <f t="shared" si="62"/>
        <v>0</v>
      </c>
      <c r="P145" s="476">
        <f t="shared" si="63"/>
        <v>0</v>
      </c>
    </row>
    <row r="146" spans="2:16">
      <c r="B146" s="160" t="str">
        <f t="shared" si="39"/>
        <v/>
      </c>
      <c r="C146" s="470">
        <f>IF(D93="","-",+C145+1)</f>
        <v>2055</v>
      </c>
      <c r="D146" s="345">
        <f>IF(F145+SUM(E$99:E145)=D$92,F145,D$92-SUM(E$99:E145))</f>
        <v>0</v>
      </c>
      <c r="E146" s="484">
        <f>IF(+J96&lt;F145,J96,D146)</f>
        <v>0</v>
      </c>
      <c r="F146" s="483">
        <f t="shared" si="58"/>
        <v>0</v>
      </c>
      <c r="G146" s="483">
        <f t="shared" si="59"/>
        <v>0</v>
      </c>
      <c r="H146" s="486">
        <f t="shared" si="56"/>
        <v>0</v>
      </c>
      <c r="I146" s="540">
        <f t="shared" si="57"/>
        <v>0</v>
      </c>
      <c r="J146" s="476">
        <f t="shared" si="60"/>
        <v>0</v>
      </c>
      <c r="K146" s="476"/>
      <c r="L146" s="485"/>
      <c r="M146" s="476">
        <f t="shared" si="61"/>
        <v>0</v>
      </c>
      <c r="N146" s="485"/>
      <c r="O146" s="476">
        <f t="shared" si="62"/>
        <v>0</v>
      </c>
      <c r="P146" s="476">
        <f t="shared" si="63"/>
        <v>0</v>
      </c>
    </row>
    <row r="147" spans="2:16">
      <c r="B147" s="160" t="str">
        <f t="shared" si="39"/>
        <v/>
      </c>
      <c r="C147" s="470">
        <f>IF(D93="","-",+C146+1)</f>
        <v>2056</v>
      </c>
      <c r="D147" s="345">
        <f>IF(F146+SUM(E$99:E146)=D$92,F146,D$92-SUM(E$99:E146))</f>
        <v>0</v>
      </c>
      <c r="E147" s="484">
        <f>IF(+J96&lt;F146,J96,D147)</f>
        <v>0</v>
      </c>
      <c r="F147" s="483">
        <f t="shared" si="58"/>
        <v>0</v>
      </c>
      <c r="G147" s="483">
        <f t="shared" si="59"/>
        <v>0</v>
      </c>
      <c r="H147" s="486">
        <f t="shared" si="56"/>
        <v>0</v>
      </c>
      <c r="I147" s="540">
        <f t="shared" si="57"/>
        <v>0</v>
      </c>
      <c r="J147" s="476">
        <f t="shared" si="60"/>
        <v>0</v>
      </c>
      <c r="K147" s="476"/>
      <c r="L147" s="485"/>
      <c r="M147" s="476">
        <f t="shared" si="61"/>
        <v>0</v>
      </c>
      <c r="N147" s="485"/>
      <c r="O147" s="476">
        <f t="shared" si="62"/>
        <v>0</v>
      </c>
      <c r="P147" s="476">
        <f t="shared" si="63"/>
        <v>0</v>
      </c>
    </row>
    <row r="148" spans="2:16">
      <c r="B148" s="160" t="str">
        <f t="shared" si="39"/>
        <v/>
      </c>
      <c r="C148" s="470">
        <f>IF(D93="","-",+C147+1)</f>
        <v>2057</v>
      </c>
      <c r="D148" s="345">
        <f>IF(F147+SUM(E$99:E147)=D$92,F147,D$92-SUM(E$99:E147))</f>
        <v>0</v>
      </c>
      <c r="E148" s="484">
        <f>IF(+J96&lt;F147,J96,D148)</f>
        <v>0</v>
      </c>
      <c r="F148" s="483">
        <f t="shared" si="58"/>
        <v>0</v>
      </c>
      <c r="G148" s="483">
        <f t="shared" si="59"/>
        <v>0</v>
      </c>
      <c r="H148" s="486">
        <f t="shared" si="56"/>
        <v>0</v>
      </c>
      <c r="I148" s="540">
        <f t="shared" si="57"/>
        <v>0</v>
      </c>
      <c r="J148" s="476">
        <f t="shared" si="60"/>
        <v>0</v>
      </c>
      <c r="K148" s="476"/>
      <c r="L148" s="485"/>
      <c r="M148" s="476">
        <f t="shared" si="61"/>
        <v>0</v>
      </c>
      <c r="N148" s="485"/>
      <c r="O148" s="476">
        <f t="shared" si="62"/>
        <v>0</v>
      </c>
      <c r="P148" s="476">
        <f t="shared" si="63"/>
        <v>0</v>
      </c>
    </row>
    <row r="149" spans="2:16">
      <c r="B149" s="160" t="str">
        <f t="shared" si="39"/>
        <v/>
      </c>
      <c r="C149" s="470">
        <f>IF(D93="","-",+C148+1)</f>
        <v>2058</v>
      </c>
      <c r="D149" s="345">
        <f>IF(F148+SUM(E$99:E148)=D$92,F148,D$92-SUM(E$99:E148))</f>
        <v>0</v>
      </c>
      <c r="E149" s="484">
        <f>IF(+J96&lt;F148,J96,D149)</f>
        <v>0</v>
      </c>
      <c r="F149" s="483">
        <f t="shared" si="58"/>
        <v>0</v>
      </c>
      <c r="G149" s="483">
        <f t="shared" si="59"/>
        <v>0</v>
      </c>
      <c r="H149" s="486">
        <f t="shared" si="56"/>
        <v>0</v>
      </c>
      <c r="I149" s="540">
        <f t="shared" si="57"/>
        <v>0</v>
      </c>
      <c r="J149" s="476">
        <f t="shared" si="60"/>
        <v>0</v>
      </c>
      <c r="K149" s="476"/>
      <c r="L149" s="485"/>
      <c r="M149" s="476">
        <f t="shared" si="61"/>
        <v>0</v>
      </c>
      <c r="N149" s="485"/>
      <c r="O149" s="476">
        <f t="shared" si="62"/>
        <v>0</v>
      </c>
      <c r="P149" s="476">
        <f t="shared" si="63"/>
        <v>0</v>
      </c>
    </row>
    <row r="150" spans="2:16">
      <c r="B150" s="160" t="str">
        <f t="shared" si="39"/>
        <v/>
      </c>
      <c r="C150" s="470">
        <f>IF(D93="","-",+C149+1)</f>
        <v>2059</v>
      </c>
      <c r="D150" s="345">
        <f>IF(F149+SUM(E$99:E149)=D$92,F149,D$92-SUM(E$99:E149))</f>
        <v>0</v>
      </c>
      <c r="E150" s="484">
        <f>IF(+J96&lt;F149,J96,D150)</f>
        <v>0</v>
      </c>
      <c r="F150" s="483">
        <f t="shared" si="58"/>
        <v>0</v>
      </c>
      <c r="G150" s="483">
        <f t="shared" si="59"/>
        <v>0</v>
      </c>
      <c r="H150" s="486">
        <f t="shared" si="56"/>
        <v>0</v>
      </c>
      <c r="I150" s="540">
        <f t="shared" si="57"/>
        <v>0</v>
      </c>
      <c r="J150" s="476">
        <f t="shared" si="60"/>
        <v>0</v>
      </c>
      <c r="K150" s="476"/>
      <c r="L150" s="485"/>
      <c r="M150" s="476">
        <f t="shared" si="61"/>
        <v>0</v>
      </c>
      <c r="N150" s="485"/>
      <c r="O150" s="476">
        <f t="shared" si="62"/>
        <v>0</v>
      </c>
      <c r="P150" s="476">
        <f t="shared" si="63"/>
        <v>0</v>
      </c>
    </row>
    <row r="151" spans="2:16">
      <c r="B151" s="160" t="str">
        <f t="shared" si="39"/>
        <v/>
      </c>
      <c r="C151" s="470">
        <f>IF(D93="","-",+C150+1)</f>
        <v>2060</v>
      </c>
      <c r="D151" s="345">
        <f>IF(F150+SUM(E$99:E150)=D$92,F150,D$92-SUM(E$99:E150))</f>
        <v>0</v>
      </c>
      <c r="E151" s="484">
        <f>IF(+J96&lt;F150,J96,D151)</f>
        <v>0</v>
      </c>
      <c r="F151" s="483">
        <f t="shared" si="58"/>
        <v>0</v>
      </c>
      <c r="G151" s="483">
        <f t="shared" si="59"/>
        <v>0</v>
      </c>
      <c r="H151" s="486">
        <f t="shared" si="56"/>
        <v>0</v>
      </c>
      <c r="I151" s="540">
        <f t="shared" si="57"/>
        <v>0</v>
      </c>
      <c r="J151" s="476">
        <f t="shared" si="60"/>
        <v>0</v>
      </c>
      <c r="K151" s="476"/>
      <c r="L151" s="485"/>
      <c r="M151" s="476">
        <f t="shared" si="61"/>
        <v>0</v>
      </c>
      <c r="N151" s="485"/>
      <c r="O151" s="476">
        <f t="shared" si="62"/>
        <v>0</v>
      </c>
      <c r="P151" s="476">
        <f t="shared" si="63"/>
        <v>0</v>
      </c>
    </row>
    <row r="152" spans="2:16">
      <c r="B152" s="160" t="str">
        <f t="shared" si="39"/>
        <v/>
      </c>
      <c r="C152" s="470">
        <f>IF(D93="","-",+C151+1)</f>
        <v>2061</v>
      </c>
      <c r="D152" s="345">
        <f>IF(F151+SUM(E$99:E151)=D$92,F151,D$92-SUM(E$99:E151))</f>
        <v>0</v>
      </c>
      <c r="E152" s="484">
        <f>IF(+J96&lt;F151,J96,D152)</f>
        <v>0</v>
      </c>
      <c r="F152" s="483">
        <f t="shared" si="58"/>
        <v>0</v>
      </c>
      <c r="G152" s="483">
        <f t="shared" si="59"/>
        <v>0</v>
      </c>
      <c r="H152" s="486">
        <f t="shared" si="56"/>
        <v>0</v>
      </c>
      <c r="I152" s="540">
        <f t="shared" si="57"/>
        <v>0</v>
      </c>
      <c r="J152" s="476">
        <f t="shared" si="60"/>
        <v>0</v>
      </c>
      <c r="K152" s="476"/>
      <c r="L152" s="485"/>
      <c r="M152" s="476">
        <f t="shared" si="61"/>
        <v>0</v>
      </c>
      <c r="N152" s="485"/>
      <c r="O152" s="476">
        <f t="shared" si="62"/>
        <v>0</v>
      </c>
      <c r="P152" s="476">
        <f t="shared" si="63"/>
        <v>0</v>
      </c>
    </row>
    <row r="153" spans="2:16">
      <c r="B153" s="160" t="str">
        <f t="shared" si="39"/>
        <v/>
      </c>
      <c r="C153" s="470">
        <f>IF(D93="","-",+C152+1)</f>
        <v>2062</v>
      </c>
      <c r="D153" s="345">
        <f>IF(F152+SUM(E$99:E152)=D$92,F152,D$92-SUM(E$99:E152))</f>
        <v>0</v>
      </c>
      <c r="E153" s="484">
        <f>IF(+J96&lt;F152,J96,D153)</f>
        <v>0</v>
      </c>
      <c r="F153" s="483">
        <f t="shared" si="58"/>
        <v>0</v>
      </c>
      <c r="G153" s="483">
        <f t="shared" si="59"/>
        <v>0</v>
      </c>
      <c r="H153" s="486">
        <f t="shared" si="56"/>
        <v>0</v>
      </c>
      <c r="I153" s="540">
        <f t="shared" si="57"/>
        <v>0</v>
      </c>
      <c r="J153" s="476">
        <f t="shared" si="60"/>
        <v>0</v>
      </c>
      <c r="K153" s="476"/>
      <c r="L153" s="485"/>
      <c r="M153" s="476">
        <f t="shared" si="61"/>
        <v>0</v>
      </c>
      <c r="N153" s="485"/>
      <c r="O153" s="476">
        <f t="shared" si="62"/>
        <v>0</v>
      </c>
      <c r="P153" s="476">
        <f t="shared" si="63"/>
        <v>0</v>
      </c>
    </row>
    <row r="154" spans="2:16" ht="13.5" thickBot="1">
      <c r="B154" s="160" t="str">
        <f t="shared" si="39"/>
        <v/>
      </c>
      <c r="C154" s="487">
        <f>IF(D93="","-",+C153+1)</f>
        <v>2063</v>
      </c>
      <c r="D154" s="541">
        <f>IF(F153+SUM(E$99:E153)=D$92,F153,D$92-SUM(E$99:E153))</f>
        <v>0</v>
      </c>
      <c r="E154" s="542">
        <f>IF(+J96&lt;F153,J96,D154)</f>
        <v>0</v>
      </c>
      <c r="F154" s="488">
        <f t="shared" si="58"/>
        <v>0</v>
      </c>
      <c r="G154" s="488">
        <f t="shared" si="59"/>
        <v>0</v>
      </c>
      <c r="H154" s="490">
        <f t="shared" si="56"/>
        <v>0</v>
      </c>
      <c r="I154" s="543">
        <f t="shared" si="57"/>
        <v>0</v>
      </c>
      <c r="J154" s="493">
        <f t="shared" si="60"/>
        <v>0</v>
      </c>
      <c r="K154" s="476"/>
      <c r="L154" s="492"/>
      <c r="M154" s="493">
        <f t="shared" si="61"/>
        <v>0</v>
      </c>
      <c r="N154" s="492"/>
      <c r="O154" s="493">
        <f t="shared" si="62"/>
        <v>0</v>
      </c>
      <c r="P154" s="493">
        <f t="shared" si="63"/>
        <v>0</v>
      </c>
    </row>
    <row r="155" spans="2:16">
      <c r="C155" s="345" t="s">
        <v>77</v>
      </c>
      <c r="D155" s="346"/>
      <c r="E155" s="346">
        <f>SUM(E99:E154)</f>
        <v>1520502</v>
      </c>
      <c r="F155" s="346"/>
      <c r="G155" s="346"/>
      <c r="H155" s="346">
        <f>SUM(H99:H154)</f>
        <v>5689714.3294611834</v>
      </c>
      <c r="I155" s="346">
        <f>SUM(I99:I154)</f>
        <v>5689714.3294611834</v>
      </c>
      <c r="J155" s="346">
        <f>SUM(J99:J154)</f>
        <v>0</v>
      </c>
      <c r="K155" s="346"/>
      <c r="L155" s="346"/>
      <c r="M155" s="346"/>
      <c r="N155" s="346"/>
      <c r="O155" s="346"/>
      <c r="P155" s="231"/>
    </row>
    <row r="156" spans="2:16">
      <c r="C156" s="148" t="s">
        <v>100</v>
      </c>
      <c r="D156" s="239"/>
      <c r="E156" s="231"/>
      <c r="F156" s="231"/>
      <c r="G156" s="231"/>
      <c r="H156" s="231"/>
      <c r="I156" s="240"/>
      <c r="J156" s="240"/>
      <c r="K156" s="346"/>
      <c r="L156" s="240"/>
      <c r="M156" s="240"/>
      <c r="N156" s="240"/>
      <c r="O156" s="240"/>
      <c r="P156" s="231"/>
    </row>
    <row r="157" spans="2:16">
      <c r="C157" s="544"/>
      <c r="D157" s="239"/>
      <c r="E157" s="231"/>
      <c r="F157" s="231"/>
      <c r="G157" s="231"/>
      <c r="H157" s="231"/>
      <c r="I157" s="240"/>
      <c r="J157" s="240"/>
      <c r="K157" s="346"/>
      <c r="L157" s="240"/>
      <c r="M157" s="240"/>
      <c r="N157" s="240"/>
      <c r="O157" s="240"/>
      <c r="P157" s="231"/>
    </row>
    <row r="158" spans="2:16">
      <c r="C158" s="561" t="s">
        <v>148</v>
      </c>
      <c r="D158" s="239"/>
      <c r="E158" s="231"/>
      <c r="F158" s="231"/>
      <c r="G158" s="231"/>
      <c r="H158" s="231"/>
      <c r="I158" s="240"/>
      <c r="J158" s="240"/>
      <c r="K158" s="346"/>
      <c r="L158" s="240"/>
      <c r="M158" s="240"/>
      <c r="N158" s="240"/>
      <c r="O158" s="240"/>
      <c r="P158" s="231"/>
    </row>
    <row r="159" spans="2:16">
      <c r="C159" s="429" t="s">
        <v>78</v>
      </c>
      <c r="D159" s="345"/>
      <c r="E159" s="345"/>
      <c r="F159" s="345"/>
      <c r="G159" s="345"/>
      <c r="H159" s="346"/>
      <c r="I159" s="346"/>
      <c r="J159" s="347"/>
      <c r="K159" s="347"/>
      <c r="L159" s="347"/>
      <c r="M159" s="347"/>
      <c r="N159" s="347"/>
      <c r="O159" s="347"/>
      <c r="P159" s="231"/>
    </row>
    <row r="160" spans="2:16">
      <c r="C160" s="545" t="s">
        <v>79</v>
      </c>
      <c r="D160" s="345"/>
      <c r="E160" s="345"/>
      <c r="F160" s="345"/>
      <c r="G160" s="345"/>
      <c r="H160" s="346"/>
      <c r="I160" s="346"/>
      <c r="J160" s="347"/>
      <c r="K160" s="347"/>
      <c r="L160" s="347"/>
      <c r="M160" s="347"/>
      <c r="N160" s="347"/>
      <c r="O160" s="347"/>
      <c r="P160" s="231"/>
    </row>
    <row r="161" spans="3:16">
      <c r="C161" s="545"/>
      <c r="D161" s="345"/>
      <c r="E161" s="345"/>
      <c r="F161" s="345"/>
      <c r="G161" s="345"/>
      <c r="H161" s="346"/>
      <c r="I161" s="346"/>
      <c r="J161" s="347"/>
      <c r="K161" s="347"/>
      <c r="L161" s="347"/>
      <c r="M161" s="347"/>
      <c r="N161" s="347"/>
      <c r="O161" s="347"/>
      <c r="P161" s="231"/>
    </row>
    <row r="162" spans="3:16" ht="18">
      <c r="C162" s="545"/>
      <c r="D162" s="345"/>
      <c r="E162" s="345"/>
      <c r="F162" s="345"/>
      <c r="G162" s="345"/>
      <c r="H162" s="346"/>
      <c r="I162" s="346"/>
      <c r="J162" s="347"/>
      <c r="K162" s="347"/>
      <c r="L162" s="347"/>
      <c r="M162" s="347"/>
      <c r="N162" s="347"/>
      <c r="P162" s="551" t="s">
        <v>145</v>
      </c>
    </row>
  </sheetData>
  <phoneticPr fontId="0" type="noConversion"/>
  <conditionalFormatting sqref="C17:C72">
    <cfRule type="cellIs" dxfId="60" priority="1" stopIfTrue="1" operator="equal">
      <formula>$I$10</formula>
    </cfRule>
  </conditionalFormatting>
  <conditionalFormatting sqref="C99:C154">
    <cfRule type="cellIs" dxfId="59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k5OTg5PC9Vc2VyTmFtZT48RGF0ZVRpbWU+MTAvMTEvMjAyMiAzOjEzOjQx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5BCD4ECD-520F-43A6-875C-F755636A54D2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D0FC4CCC-7292-4B02-B7E5-B2AD77BC458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30</vt:i4>
      </vt:variant>
    </vt:vector>
  </HeadingPairs>
  <TitlesOfParts>
    <vt:vector size="67" baseType="lpstr">
      <vt:lpstr>PSO.Sch.11.Rates</vt:lpstr>
      <vt:lpstr>PSO.WS.F.BPU.ATRR.Projected</vt:lpstr>
      <vt:lpstr>PSO.WS.G.BPU.ATRR.True-up</vt:lpstr>
      <vt:lpstr>P.001</vt:lpstr>
      <vt:lpstr>P.002</vt:lpstr>
      <vt:lpstr>P.003</vt:lpstr>
      <vt:lpstr>P.004</vt:lpstr>
      <vt:lpstr>P.005</vt:lpstr>
      <vt:lpstr>P.006</vt:lpstr>
      <vt:lpstr>P.007</vt:lpstr>
      <vt:lpstr>P.008</vt:lpstr>
      <vt:lpstr>P.009</vt:lpstr>
      <vt:lpstr>P.010</vt:lpstr>
      <vt:lpstr>P.011</vt:lpstr>
      <vt:lpstr>P.012</vt:lpstr>
      <vt:lpstr>P.013</vt:lpstr>
      <vt:lpstr>P.014</vt:lpstr>
      <vt:lpstr>P.015</vt:lpstr>
      <vt:lpstr>P.016</vt:lpstr>
      <vt:lpstr>P.017</vt:lpstr>
      <vt:lpstr>P.018</vt:lpstr>
      <vt:lpstr>P.019</vt:lpstr>
      <vt:lpstr>P.020</vt:lpstr>
      <vt:lpstr>P.021</vt:lpstr>
      <vt:lpstr>P.022</vt:lpstr>
      <vt:lpstr>P.023</vt:lpstr>
      <vt:lpstr>P.024</vt:lpstr>
      <vt:lpstr>P.025</vt:lpstr>
      <vt:lpstr>P.026</vt:lpstr>
      <vt:lpstr>P.027</vt:lpstr>
      <vt:lpstr>P.028</vt:lpstr>
      <vt:lpstr>P.029</vt:lpstr>
      <vt:lpstr>P.030</vt:lpstr>
      <vt:lpstr>P.031</vt:lpstr>
      <vt:lpstr>P.032</vt:lpstr>
      <vt:lpstr>P.033</vt:lpstr>
      <vt:lpstr>P.xyz - blank</vt:lpstr>
      <vt:lpstr>P.001!Print_Area</vt:lpstr>
      <vt:lpstr>P.002!Print_Area</vt:lpstr>
      <vt:lpstr>P.003!Print_Area</vt:lpstr>
      <vt:lpstr>P.004!Print_Area</vt:lpstr>
      <vt:lpstr>P.005!Print_Area</vt:lpstr>
      <vt:lpstr>P.006!Print_Area</vt:lpstr>
      <vt:lpstr>P.007!Print_Area</vt:lpstr>
      <vt:lpstr>P.008!Print_Area</vt:lpstr>
      <vt:lpstr>P.009!Print_Area</vt:lpstr>
      <vt:lpstr>P.010!Print_Area</vt:lpstr>
      <vt:lpstr>P.011!Print_Area</vt:lpstr>
      <vt:lpstr>P.012!Print_Area</vt:lpstr>
      <vt:lpstr>P.013!Print_Area</vt:lpstr>
      <vt:lpstr>P.014!Print_Area</vt:lpstr>
      <vt:lpstr>P.015!Print_Area</vt:lpstr>
      <vt:lpstr>P.016!Print_Area</vt:lpstr>
      <vt:lpstr>P.017!Print_Area</vt:lpstr>
      <vt:lpstr>P.018!Print_Area</vt:lpstr>
      <vt:lpstr>P.019!Print_Area</vt:lpstr>
      <vt:lpstr>P.020!Print_Area</vt:lpstr>
      <vt:lpstr>P.021!Print_Area</vt:lpstr>
      <vt:lpstr>P.022!Print_Area</vt:lpstr>
      <vt:lpstr>P.032!Print_Area</vt:lpstr>
      <vt:lpstr>P.033!Print_Area</vt:lpstr>
      <vt:lpstr>'P.xyz - blank'!Print_Area</vt:lpstr>
      <vt:lpstr>PSO.Sch.11.Rates!Print_Area</vt:lpstr>
      <vt:lpstr>PSO.WS.F.BPU.ATRR.Projected!Print_Area</vt:lpstr>
      <vt:lpstr>'PSO.WS.G.BPU.ATRR.True-up'!Print_Area</vt:lpstr>
      <vt:lpstr>PSO.WS.F.BPU.ATRR.Projected!Print_Titles</vt:lpstr>
      <vt:lpstr>'PSO.WS.G.BPU.ATRR.True-up'!Print_Titles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R.Pennybaker</dc:creator>
  <cp:keywords/>
  <cp:lastModifiedBy>Allyson L Keaton</cp:lastModifiedBy>
  <cp:lastPrinted>2021-11-01T14:32:39Z</cp:lastPrinted>
  <dcterms:created xsi:type="dcterms:W3CDTF">2009-05-11T14:02:48Z</dcterms:created>
  <dcterms:modified xsi:type="dcterms:W3CDTF">2023-10-31T14:59:31Z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9c9446c6-c09d-4578-91e9-dbf9e47c0c39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{5BCD4ECD-520F-43A6-875C-F755636A54D2}</vt:lpwstr>
  </property>
</Properties>
</file>